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firstSheet="7" activeTab="8"/>
  </bookViews>
  <sheets>
    <sheet name="Tabela Nr 1" sheetId="58" r:id="rId1"/>
    <sheet name="Tabela Nr 2" sheetId="59" r:id="rId2"/>
    <sheet name="adm.rząd.doch. " sheetId="60" r:id="rId3"/>
    <sheet name=" adm.rzad.wyd." sheetId="61" r:id="rId4"/>
    <sheet name="ustawy szczegół." sheetId="57" r:id="rId5"/>
    <sheet name="wyodrębniony rachunek" sheetId="53" r:id="rId6"/>
    <sheet name="dotacjena podst. porozumień" sheetId="51" r:id="rId7"/>
    <sheet name="dotacje udzielone innym jst" sheetId="52" r:id="rId8"/>
    <sheet name="przych i rozch." sheetId="47" r:id="rId9"/>
  </sheets>
  <definedNames>
    <definedName name="_xlnm.Print_Area" localSheetId="3">' adm.rzad.wyd.'!$A$1:$O$124</definedName>
    <definedName name="_xlnm.Print_Area" localSheetId="2">'adm.rząd.doch. '!$A$1:$H$53</definedName>
    <definedName name="_xlnm.Print_Area" localSheetId="7">'dotacje udzielone innym jst'!$A$1:$I$82</definedName>
    <definedName name="_xlnm.Print_Area" localSheetId="6">'dotacjena podst. porozumień'!$A$1:$L$33</definedName>
    <definedName name="_xlnm.Print_Area" localSheetId="8">'przych i rozch.'!$A$1:$D$23</definedName>
    <definedName name="_xlnm.Print_Area" localSheetId="0">'Tabela Nr 1'!$A$1:$H$619</definedName>
    <definedName name="_xlnm.Print_Area" localSheetId="1">'Tabela Nr 2'!$A$1:$H$2078</definedName>
    <definedName name="_xlnm.Print_Area" localSheetId="4">'ustawy szczegół.'!$A$1:$L$49</definedName>
    <definedName name="_xlnm.Print_Area" localSheetId="5">'wyodrębniony rachunek'!$A$1:$H$21</definedName>
    <definedName name="_xlnm.Print_Titles" localSheetId="3">' adm.rzad.wyd.'!$1:$6</definedName>
    <definedName name="_xlnm.Print_Titles" localSheetId="7">'dotacje udzielone innym jst'!$4:$6</definedName>
    <definedName name="_xlnm.Print_Titles" localSheetId="6">'dotacjena podst. porozumień'!$4:$6</definedName>
    <definedName name="_xlnm.Print_Titles" localSheetId="0">'Tabela Nr 1'!$7:$9</definedName>
    <definedName name="_xlnm.Print_Titles" localSheetId="1">'Tabela Nr 2'!$6:$7</definedName>
    <definedName name="_xlnm.Print_Titles" localSheetId="4">'ustawy szczegół.'!$4:$6</definedName>
  </definedNames>
  <calcPr calcId="152511"/>
</workbook>
</file>

<file path=xl/calcChain.xml><?xml version="1.0" encoding="utf-8"?>
<calcChain xmlns="http://schemas.openxmlformats.org/spreadsheetml/2006/main">
  <c r="E2062" i="59" l="1"/>
  <c r="I42" i="57" l="1"/>
  <c r="I41" i="57"/>
  <c r="I40" i="57"/>
  <c r="I39" i="57" l="1"/>
  <c r="G262" i="61"/>
  <c r="J125" i="61"/>
  <c r="I125" i="61"/>
  <c r="H125" i="61"/>
  <c r="G125" i="61" s="1"/>
  <c r="I123" i="61"/>
  <c r="H123" i="61"/>
  <c r="G123" i="61"/>
  <c r="O123" i="61" s="1"/>
  <c r="I122" i="61"/>
  <c r="H122" i="61"/>
  <c r="G122" i="61"/>
  <c r="O122" i="61" s="1"/>
  <c r="I121" i="61"/>
  <c r="H121" i="61"/>
  <c r="G121" i="61"/>
  <c r="O121" i="61" s="1"/>
  <c r="I120" i="61"/>
  <c r="H120" i="61"/>
  <c r="G120" i="61"/>
  <c r="O120" i="61" s="1"/>
  <c r="I119" i="61"/>
  <c r="H119" i="61"/>
  <c r="G119" i="61"/>
  <c r="O119" i="61" s="1"/>
  <c r="I118" i="61"/>
  <c r="H118" i="61"/>
  <c r="G118" i="61"/>
  <c r="O118" i="61" s="1"/>
  <c r="I117" i="61"/>
  <c r="H117" i="61"/>
  <c r="G117" i="61"/>
  <c r="O117" i="61" s="1"/>
  <c r="I116" i="61"/>
  <c r="H116" i="61"/>
  <c r="G116" i="61"/>
  <c r="O116" i="61" s="1"/>
  <c r="I115" i="61"/>
  <c r="H115" i="61"/>
  <c r="G115" i="61"/>
  <c r="O115" i="61" s="1"/>
  <c r="I114" i="61"/>
  <c r="H114" i="61"/>
  <c r="G114" i="61"/>
  <c r="O114" i="61" s="1"/>
  <c r="I113" i="61"/>
  <c r="H113" i="61"/>
  <c r="G113" i="61"/>
  <c r="O113" i="61" s="1"/>
  <c r="I112" i="61"/>
  <c r="H112" i="61"/>
  <c r="G112" i="61"/>
  <c r="O112" i="61" s="1"/>
  <c r="I111" i="61"/>
  <c r="H111" i="61"/>
  <c r="G111" i="61"/>
  <c r="O111" i="61" s="1"/>
  <c r="I110" i="61"/>
  <c r="H110" i="61"/>
  <c r="G110" i="61"/>
  <c r="O110" i="61" s="1"/>
  <c r="I109" i="61"/>
  <c r="H109" i="61"/>
  <c r="G109" i="61"/>
  <c r="O109" i="61" s="1"/>
  <c r="I108" i="61"/>
  <c r="H108" i="61"/>
  <c r="G108" i="61"/>
  <c r="O108" i="61" s="1"/>
  <c r="I107" i="61"/>
  <c r="H107" i="61"/>
  <c r="G107" i="61"/>
  <c r="O107" i="61" s="1"/>
  <c r="I106" i="61"/>
  <c r="H106" i="61"/>
  <c r="G106" i="61"/>
  <c r="O106" i="61" s="1"/>
  <c r="I105" i="61"/>
  <c r="H105" i="61"/>
  <c r="G105" i="61"/>
  <c r="O105" i="61" s="1"/>
  <c r="H104" i="61"/>
  <c r="G104" i="61" s="1"/>
  <c r="O104" i="61" s="1"/>
  <c r="M103" i="61"/>
  <c r="K103" i="61"/>
  <c r="J103" i="61"/>
  <c r="I103" i="61"/>
  <c r="H103" i="61" s="1"/>
  <c r="G103" i="61" s="1"/>
  <c r="O103" i="61" s="1"/>
  <c r="F103" i="61"/>
  <c r="E103" i="61"/>
  <c r="E102" i="61" s="1"/>
  <c r="M102" i="61"/>
  <c r="K102" i="61"/>
  <c r="J102" i="61"/>
  <c r="I102" i="61" s="1"/>
  <c r="H102" i="61" s="1"/>
  <c r="G102" i="61" s="1"/>
  <c r="F102" i="61"/>
  <c r="E98" i="61"/>
  <c r="E97" i="61"/>
  <c r="O96" i="61"/>
  <c r="I96" i="61"/>
  <c r="H96" i="61"/>
  <c r="G96" i="61" s="1"/>
  <c r="O95" i="61"/>
  <c r="I95" i="61"/>
  <c r="H95" i="61"/>
  <c r="G95" i="61" s="1"/>
  <c r="K94" i="61"/>
  <c r="J94" i="61"/>
  <c r="I94" i="61" s="1"/>
  <c r="I89" i="61" s="1"/>
  <c r="H94" i="61"/>
  <c r="G94" i="61" s="1"/>
  <c r="O94" i="61" s="1"/>
  <c r="F94" i="61"/>
  <c r="E94" i="61"/>
  <c r="O93" i="61"/>
  <c r="I93" i="61"/>
  <c r="H93" i="61"/>
  <c r="G93" i="61" s="1"/>
  <c r="K92" i="61"/>
  <c r="I92" i="61"/>
  <c r="H92" i="61" s="1"/>
  <c r="H89" i="61" s="1"/>
  <c r="F92" i="61"/>
  <c r="E92" i="61"/>
  <c r="G91" i="61"/>
  <c r="O91" i="61" s="1"/>
  <c r="N90" i="61"/>
  <c r="G90" i="61" s="1"/>
  <c r="F90" i="61"/>
  <c r="F89" i="61" s="1"/>
  <c r="E90" i="61"/>
  <c r="K89" i="61"/>
  <c r="J89" i="61"/>
  <c r="E89" i="61"/>
  <c r="O88" i="61"/>
  <c r="O87" i="61"/>
  <c r="I87" i="61"/>
  <c r="H87" i="61"/>
  <c r="G87" i="61"/>
  <c r="K86" i="61"/>
  <c r="I86" i="61"/>
  <c r="I85" i="61" s="1"/>
  <c r="H86" i="61"/>
  <c r="H85" i="61" s="1"/>
  <c r="G86" i="61"/>
  <c r="G85" i="61" s="1"/>
  <c r="F86" i="61"/>
  <c r="E86" i="61"/>
  <c r="E85" i="61" s="1"/>
  <c r="K85" i="61"/>
  <c r="F85" i="61"/>
  <c r="I84" i="61"/>
  <c r="H84" i="61"/>
  <c r="G84" i="61" s="1"/>
  <c r="O84" i="61" s="1"/>
  <c r="I83" i="61"/>
  <c r="H83" i="61"/>
  <c r="G83" i="61" s="1"/>
  <c r="O83" i="61" s="1"/>
  <c r="I82" i="61"/>
  <c r="H82" i="61"/>
  <c r="G82" i="61" s="1"/>
  <c r="O82" i="61" s="1"/>
  <c r="I81" i="61"/>
  <c r="H81" i="61"/>
  <c r="G81" i="61" s="1"/>
  <c r="O81" i="61" s="1"/>
  <c r="I80" i="61"/>
  <c r="H80" i="61"/>
  <c r="G80" i="61" s="1"/>
  <c r="O80" i="61" s="1"/>
  <c r="I79" i="61"/>
  <c r="H79" i="61"/>
  <c r="G79" i="61" s="1"/>
  <c r="O79" i="61" s="1"/>
  <c r="H78" i="61"/>
  <c r="G78" i="61"/>
  <c r="O78" i="61" s="1"/>
  <c r="M77" i="61"/>
  <c r="K77" i="61"/>
  <c r="K76" i="61" s="1"/>
  <c r="J77" i="61"/>
  <c r="F77" i="61"/>
  <c r="F76" i="61" s="1"/>
  <c r="E77" i="61"/>
  <c r="N76" i="61"/>
  <c r="M76" i="61"/>
  <c r="L76" i="61"/>
  <c r="E76" i="61"/>
  <c r="I75" i="61"/>
  <c r="H75" i="61"/>
  <c r="G75" i="61"/>
  <c r="O75" i="61" s="1"/>
  <c r="I73" i="61"/>
  <c r="H73" i="61"/>
  <c r="G73" i="61"/>
  <c r="O73" i="61" s="1"/>
  <c r="I72" i="61"/>
  <c r="H72" i="61"/>
  <c r="G72" i="61"/>
  <c r="O72" i="61" s="1"/>
  <c r="I70" i="61"/>
  <c r="H70" i="61"/>
  <c r="G70" i="61"/>
  <c r="O70" i="61" s="1"/>
  <c r="I69" i="61"/>
  <c r="H69" i="61"/>
  <c r="G69" i="61"/>
  <c r="O69" i="61" s="1"/>
  <c r="I68" i="61"/>
  <c r="H68" i="61"/>
  <c r="G68" i="61"/>
  <c r="O68" i="61" s="1"/>
  <c r="H67" i="61"/>
  <c r="G67" i="61"/>
  <c r="O67" i="61" s="1"/>
  <c r="N66" i="61"/>
  <c r="M66" i="61"/>
  <c r="K66" i="61"/>
  <c r="J66" i="61"/>
  <c r="F66" i="61"/>
  <c r="F55" i="61" s="1"/>
  <c r="E66" i="61"/>
  <c r="I65" i="61"/>
  <c r="H65" i="61"/>
  <c r="G65" i="61" s="1"/>
  <c r="O65" i="61" s="1"/>
  <c r="I64" i="61"/>
  <c r="H64" i="61"/>
  <c r="G64" i="61" s="1"/>
  <c r="O64" i="61" s="1"/>
  <c r="I63" i="61"/>
  <c r="H63" i="61"/>
  <c r="G63" i="61" s="1"/>
  <c r="O63" i="61" s="1"/>
  <c r="O62" i="61"/>
  <c r="I61" i="61"/>
  <c r="H61" i="61" s="1"/>
  <c r="G61" i="61" s="1"/>
  <c r="O61" i="61" s="1"/>
  <c r="K60" i="61"/>
  <c r="I60" i="61" s="1"/>
  <c r="H60" i="61" s="1"/>
  <c r="G60" i="61" s="1"/>
  <c r="O60" i="61" s="1"/>
  <c r="J60" i="61"/>
  <c r="F60" i="61"/>
  <c r="E60" i="61"/>
  <c r="I59" i="61"/>
  <c r="H59" i="61" s="1"/>
  <c r="G59" i="61" s="1"/>
  <c r="O59" i="61" s="1"/>
  <c r="I58" i="61"/>
  <c r="H58" i="61" s="1"/>
  <c r="G58" i="61" s="1"/>
  <c r="O58" i="61" s="1"/>
  <c r="I57" i="61"/>
  <c r="H57" i="61" s="1"/>
  <c r="G57" i="61" s="1"/>
  <c r="O57" i="61" s="1"/>
  <c r="K56" i="61"/>
  <c r="J56" i="61"/>
  <c r="F56" i="61"/>
  <c r="E56" i="61"/>
  <c r="N55" i="61"/>
  <c r="M55" i="61"/>
  <c r="E55" i="61"/>
  <c r="K53" i="61"/>
  <c r="I53" i="61"/>
  <c r="H53" i="61"/>
  <c r="G53" i="61"/>
  <c r="F53" i="61"/>
  <c r="E53" i="61"/>
  <c r="I50" i="61"/>
  <c r="H50" i="61" s="1"/>
  <c r="G50" i="61" s="1"/>
  <c r="O50" i="61" s="1"/>
  <c r="I49" i="61"/>
  <c r="H49" i="61" s="1"/>
  <c r="G49" i="61" s="1"/>
  <c r="O49" i="61" s="1"/>
  <c r="I48" i="61"/>
  <c r="H48" i="61" s="1"/>
  <c r="G48" i="61" s="1"/>
  <c r="O48" i="61" s="1"/>
  <c r="I47" i="61"/>
  <c r="H47" i="61" s="1"/>
  <c r="G47" i="61" s="1"/>
  <c r="O47" i="61" s="1"/>
  <c r="K46" i="61"/>
  <c r="J46" i="61"/>
  <c r="F46" i="61"/>
  <c r="E46" i="61"/>
  <c r="N45" i="61"/>
  <c r="J45" i="61"/>
  <c r="F45" i="61"/>
  <c r="E45" i="61"/>
  <c r="O44" i="61"/>
  <c r="I44" i="61"/>
  <c r="H44" i="61"/>
  <c r="G44" i="61"/>
  <c r="O43" i="61"/>
  <c r="I43" i="61"/>
  <c r="H43" i="61"/>
  <c r="G43" i="61"/>
  <c r="O42" i="61"/>
  <c r="I42" i="61"/>
  <c r="H42" i="61"/>
  <c r="G42" i="61"/>
  <c r="O41" i="61"/>
  <c r="I41" i="61"/>
  <c r="H41" i="61"/>
  <c r="G41" i="61"/>
  <c r="K40" i="61"/>
  <c r="J40" i="61"/>
  <c r="I40" i="61"/>
  <c r="H40" i="61"/>
  <c r="G40" i="61" s="1"/>
  <c r="G39" i="61" s="1"/>
  <c r="O39" i="61" s="1"/>
  <c r="F40" i="61"/>
  <c r="E40" i="61"/>
  <c r="K39" i="61"/>
  <c r="J39" i="61"/>
  <c r="I39" i="61"/>
  <c r="F39" i="61"/>
  <c r="E39" i="61"/>
  <c r="O38" i="61"/>
  <c r="I38" i="61"/>
  <c r="H38" i="61"/>
  <c r="G38" i="61"/>
  <c r="O37" i="61"/>
  <c r="I37" i="61"/>
  <c r="H37" i="61"/>
  <c r="G37" i="61"/>
  <c r="O36" i="61"/>
  <c r="I36" i="61"/>
  <c r="H36" i="61"/>
  <c r="G36" i="61"/>
  <c r="O35" i="61"/>
  <c r="I35" i="61"/>
  <c r="H35" i="61"/>
  <c r="G35" i="61"/>
  <c r="O34" i="61"/>
  <c r="I34" i="61"/>
  <c r="H34" i="61"/>
  <c r="G34" i="61"/>
  <c r="K33" i="61"/>
  <c r="J33" i="61"/>
  <c r="I33" i="61"/>
  <c r="I30" i="61" s="1"/>
  <c r="H33" i="61"/>
  <c r="G33" i="61" s="1"/>
  <c r="O33" i="61" s="1"/>
  <c r="F33" i="61"/>
  <c r="E33" i="61"/>
  <c r="O32" i="61"/>
  <c r="H32" i="61"/>
  <c r="G32" i="61"/>
  <c r="L31" i="61"/>
  <c r="F31" i="61"/>
  <c r="E31" i="61"/>
  <c r="E30" i="61" s="1"/>
  <c r="K30" i="61"/>
  <c r="J30" i="61"/>
  <c r="F30" i="61"/>
  <c r="I29" i="61"/>
  <c r="H29" i="61"/>
  <c r="G29" i="61" s="1"/>
  <c r="O29" i="61" s="1"/>
  <c r="I28" i="61"/>
  <c r="H28" i="61"/>
  <c r="G28" i="61" s="1"/>
  <c r="O28" i="61" s="1"/>
  <c r="I27" i="61"/>
  <c r="H27" i="61"/>
  <c r="G27" i="61" s="1"/>
  <c r="O27" i="61" s="1"/>
  <c r="I26" i="61"/>
  <c r="H26" i="61"/>
  <c r="G26" i="61" s="1"/>
  <c r="O26" i="61" s="1"/>
  <c r="I25" i="61"/>
  <c r="H25" i="61"/>
  <c r="G25" i="61" s="1"/>
  <c r="O25" i="61" s="1"/>
  <c r="K24" i="61"/>
  <c r="J24" i="61"/>
  <c r="F24" i="61"/>
  <c r="F7" i="61" s="1"/>
  <c r="E24" i="61"/>
  <c r="N8" i="61"/>
  <c r="M8" i="61"/>
  <c r="M7" i="61" s="1"/>
  <c r="M124" i="61" s="1"/>
  <c r="K8" i="61"/>
  <c r="J8" i="61"/>
  <c r="F8" i="61"/>
  <c r="E8" i="61"/>
  <c r="N7" i="61"/>
  <c r="E7" i="61"/>
  <c r="D169" i="60"/>
  <c r="G60" i="60"/>
  <c r="G58" i="60"/>
  <c r="G57" i="60"/>
  <c r="H52" i="60"/>
  <c r="H51" i="60"/>
  <c r="G51" i="60"/>
  <c r="F51" i="60"/>
  <c r="E51" i="60"/>
  <c r="H50" i="60"/>
  <c r="G50" i="60"/>
  <c r="F50" i="60"/>
  <c r="E50" i="60"/>
  <c r="G48" i="60"/>
  <c r="G47" i="60" s="1"/>
  <c r="F48" i="60"/>
  <c r="E48" i="60"/>
  <c r="F47" i="60"/>
  <c r="E47" i="60"/>
  <c r="H46" i="60"/>
  <c r="G45" i="60"/>
  <c r="H45" i="60" s="1"/>
  <c r="F45" i="60"/>
  <c r="E45" i="60"/>
  <c r="H44" i="60"/>
  <c r="H43" i="60"/>
  <c r="G43" i="60"/>
  <c r="F43" i="60"/>
  <c r="F40" i="60" s="1"/>
  <c r="E43" i="60"/>
  <c r="H42" i="60"/>
  <c r="H41" i="60"/>
  <c r="G41" i="60"/>
  <c r="F41" i="60"/>
  <c r="E41" i="60"/>
  <c r="E40" i="60"/>
  <c r="H39" i="60"/>
  <c r="G38" i="60"/>
  <c r="F38" i="60"/>
  <c r="H38" i="60" s="1"/>
  <c r="E38" i="60"/>
  <c r="G37" i="60"/>
  <c r="F37" i="60"/>
  <c r="H37" i="60" s="1"/>
  <c r="E37" i="60"/>
  <c r="H36" i="60"/>
  <c r="G35" i="60"/>
  <c r="H35" i="60" s="1"/>
  <c r="F35" i="60"/>
  <c r="E35" i="60"/>
  <c r="G34" i="60"/>
  <c r="H34" i="60" s="1"/>
  <c r="F34" i="60"/>
  <c r="E34" i="60"/>
  <c r="H33" i="60"/>
  <c r="H32" i="60"/>
  <c r="G32" i="60"/>
  <c r="F32" i="60"/>
  <c r="E32" i="60"/>
  <c r="H31" i="60"/>
  <c r="G30" i="60"/>
  <c r="G27" i="60" s="1"/>
  <c r="H27" i="60" s="1"/>
  <c r="F30" i="60"/>
  <c r="E30" i="60"/>
  <c r="E27" i="60" s="1"/>
  <c r="H29" i="60"/>
  <c r="G28" i="60"/>
  <c r="F28" i="60"/>
  <c r="H28" i="60" s="1"/>
  <c r="E28" i="60"/>
  <c r="F27" i="60"/>
  <c r="G25" i="60"/>
  <c r="G22" i="60" s="1"/>
  <c r="H22" i="60" s="1"/>
  <c r="F25" i="60"/>
  <c r="E25" i="60"/>
  <c r="E22" i="60" s="1"/>
  <c r="H24" i="60"/>
  <c r="G23" i="60"/>
  <c r="F23" i="60"/>
  <c r="H23" i="60" s="1"/>
  <c r="E23" i="60"/>
  <c r="F22" i="60"/>
  <c r="H21" i="60"/>
  <c r="G20" i="60"/>
  <c r="H20" i="60" s="1"/>
  <c r="F20" i="60"/>
  <c r="E20" i="60"/>
  <c r="G19" i="60"/>
  <c r="H19" i="60" s="1"/>
  <c r="F19" i="60"/>
  <c r="E19" i="60"/>
  <c r="H18" i="60"/>
  <c r="H17" i="60"/>
  <c r="G17" i="60"/>
  <c r="F17" i="60"/>
  <c r="F14" i="60" s="1"/>
  <c r="H14" i="60" s="1"/>
  <c r="E17" i="60"/>
  <c r="H16" i="60"/>
  <c r="H15" i="60"/>
  <c r="G15" i="60"/>
  <c r="F15" i="60"/>
  <c r="E15" i="60"/>
  <c r="G14" i="60"/>
  <c r="E14" i="60"/>
  <c r="H13" i="60"/>
  <c r="G12" i="60"/>
  <c r="F12" i="60"/>
  <c r="F5" i="60" s="1"/>
  <c r="E12" i="60"/>
  <c r="H11" i="60"/>
  <c r="H10" i="60"/>
  <c r="H9" i="60"/>
  <c r="G9" i="60"/>
  <c r="F9" i="60"/>
  <c r="E9" i="60"/>
  <c r="G6" i="60"/>
  <c r="F6" i="60"/>
  <c r="E6" i="60"/>
  <c r="G5" i="60"/>
  <c r="H5" i="60" s="1"/>
  <c r="E5" i="60"/>
  <c r="H39" i="61" l="1"/>
  <c r="I56" i="61"/>
  <c r="K55" i="61"/>
  <c r="O85" i="61"/>
  <c r="O86" i="61"/>
  <c r="O90" i="61"/>
  <c r="G92" i="61"/>
  <c r="I66" i="61"/>
  <c r="H66" i="61" s="1"/>
  <c r="G66" i="61" s="1"/>
  <c r="O66" i="61" s="1"/>
  <c r="J55" i="61"/>
  <c r="I77" i="61"/>
  <c r="H77" i="61" s="1"/>
  <c r="G77" i="61" s="1"/>
  <c r="O77" i="61" s="1"/>
  <c r="J76" i="61"/>
  <c r="I76" i="61" s="1"/>
  <c r="H76" i="61" s="1"/>
  <c r="G76" i="61" s="1"/>
  <c r="O76" i="61" s="1"/>
  <c r="F124" i="61"/>
  <c r="K45" i="61"/>
  <c r="I46" i="61"/>
  <c r="H31" i="61"/>
  <c r="L30" i="61"/>
  <c r="L124" i="61" s="1"/>
  <c r="O40" i="61"/>
  <c r="I8" i="61"/>
  <c r="H8" i="61" s="1"/>
  <c r="K7" i="61"/>
  <c r="K124" i="61" s="1"/>
  <c r="E124" i="61"/>
  <c r="I24" i="61"/>
  <c r="H24" i="61" s="1"/>
  <c r="G24" i="61" s="1"/>
  <c r="O24" i="61" s="1"/>
  <c r="J7" i="61"/>
  <c r="O102" i="61"/>
  <c r="N89" i="61"/>
  <c r="N124" i="61" s="1"/>
  <c r="F53" i="60"/>
  <c r="E53" i="60"/>
  <c r="H12" i="60"/>
  <c r="G40" i="60"/>
  <c r="H30" i="60"/>
  <c r="G2073" i="59"/>
  <c r="F2073" i="59"/>
  <c r="E2073" i="59"/>
  <c r="G2072" i="59"/>
  <c r="F2072" i="59"/>
  <c r="H2061" i="59"/>
  <c r="H2060" i="59"/>
  <c r="G2060" i="59"/>
  <c r="F2060" i="59"/>
  <c r="E2060" i="59"/>
  <c r="H2059" i="59"/>
  <c r="G2059" i="59"/>
  <c r="F2059" i="59"/>
  <c r="E2059" i="59"/>
  <c r="H2058" i="59"/>
  <c r="G2058" i="59"/>
  <c r="F2058" i="59"/>
  <c r="E2058" i="59"/>
  <c r="H2057" i="59"/>
  <c r="H2056" i="59"/>
  <c r="G2055" i="59"/>
  <c r="F2055" i="59"/>
  <c r="F2040" i="59" s="1"/>
  <c r="F2039" i="59" s="1"/>
  <c r="E2055" i="59"/>
  <c r="H2053" i="59"/>
  <c r="H2052" i="59"/>
  <c r="H2051" i="59"/>
  <c r="G2050" i="59"/>
  <c r="H2050" i="59" s="1"/>
  <c r="F2050" i="59"/>
  <c r="E2050" i="59"/>
  <c r="H2048" i="59"/>
  <c r="H2047" i="59"/>
  <c r="G2046" i="59"/>
  <c r="F2046" i="59"/>
  <c r="E2046" i="59"/>
  <c r="H2044" i="59"/>
  <c r="H2043" i="59"/>
  <c r="G2042" i="59"/>
  <c r="H2042" i="59" s="1"/>
  <c r="F2042" i="59"/>
  <c r="E2042" i="59"/>
  <c r="E2041" i="59" s="1"/>
  <c r="E2040" i="59" s="1"/>
  <c r="F2041" i="59"/>
  <c r="E2039" i="59"/>
  <c r="E2034" i="59" s="1"/>
  <c r="H2038" i="59"/>
  <c r="G2037" i="59"/>
  <c r="F2037" i="59"/>
  <c r="F2036" i="59" s="1"/>
  <c r="F2035" i="59" s="1"/>
  <c r="F2034" i="59" s="1"/>
  <c r="E2037" i="59"/>
  <c r="G2036" i="59"/>
  <c r="E2036" i="59"/>
  <c r="G2035" i="59"/>
  <c r="H2035" i="59" s="1"/>
  <c r="E2035" i="59"/>
  <c r="H2033" i="59"/>
  <c r="H2032" i="59"/>
  <c r="H2031" i="59"/>
  <c r="G2031" i="59"/>
  <c r="F2031" i="59"/>
  <c r="E2031" i="59"/>
  <c r="H2029" i="59"/>
  <c r="G2028" i="59"/>
  <c r="H2028" i="59" s="1"/>
  <c r="F2028" i="59"/>
  <c r="E2028" i="59"/>
  <c r="G2027" i="59"/>
  <c r="H2027" i="59" s="1"/>
  <c r="F2027" i="59"/>
  <c r="E2027" i="59"/>
  <c r="E2026" i="59" s="1"/>
  <c r="E2025" i="59" s="1"/>
  <c r="G2026" i="59"/>
  <c r="H2026" i="59" s="1"/>
  <c r="F2026" i="59"/>
  <c r="G2025" i="59"/>
  <c r="H2025" i="59" s="1"/>
  <c r="F2025" i="59"/>
  <c r="H2024" i="59"/>
  <c r="G2023" i="59"/>
  <c r="F2023" i="59"/>
  <c r="H2023" i="59" s="1"/>
  <c r="E2023" i="59"/>
  <c r="G2022" i="59"/>
  <c r="F2022" i="59"/>
  <c r="H2022" i="59" s="1"/>
  <c r="E2022" i="59"/>
  <c r="H2020" i="59"/>
  <c r="H2019" i="59"/>
  <c r="H2018" i="59"/>
  <c r="G2017" i="59"/>
  <c r="H2017" i="59" s="1"/>
  <c r="F2017" i="59"/>
  <c r="E2017" i="59"/>
  <c r="H2015" i="59"/>
  <c r="G2014" i="59"/>
  <c r="F2014" i="59"/>
  <c r="H2014" i="59" s="1"/>
  <c r="E2014" i="59"/>
  <c r="H2012" i="59"/>
  <c r="H2011" i="59"/>
  <c r="H2010" i="59"/>
  <c r="H2009" i="59"/>
  <c r="H2008" i="59"/>
  <c r="H2007" i="59"/>
  <c r="H2006" i="59"/>
  <c r="H2005" i="59"/>
  <c r="H2004" i="59"/>
  <c r="H2003" i="59"/>
  <c r="H2002" i="59"/>
  <c r="H2001" i="59"/>
  <c r="H2000" i="59"/>
  <c r="H1999" i="59"/>
  <c r="H1998" i="59"/>
  <c r="G1997" i="59"/>
  <c r="H1997" i="59" s="1"/>
  <c r="F1997" i="59"/>
  <c r="E1997" i="59"/>
  <c r="E1989" i="59" s="1"/>
  <c r="H1995" i="59"/>
  <c r="H1994" i="59"/>
  <c r="H1993" i="59"/>
  <c r="H1992" i="59"/>
  <c r="H1991" i="59"/>
  <c r="G1990" i="59"/>
  <c r="F1990" i="59"/>
  <c r="E1990" i="59"/>
  <c r="G1989" i="59"/>
  <c r="G1988" i="59"/>
  <c r="G1987" i="59"/>
  <c r="G1986" i="59"/>
  <c r="H1985" i="59"/>
  <c r="H1984" i="59"/>
  <c r="H1983" i="59"/>
  <c r="G1983" i="59"/>
  <c r="F1983" i="59"/>
  <c r="E1983" i="59"/>
  <c r="H1981" i="59"/>
  <c r="H1980" i="59"/>
  <c r="H1979" i="59"/>
  <c r="H1978" i="59"/>
  <c r="H1977" i="59"/>
  <c r="G1977" i="59"/>
  <c r="F1977" i="59"/>
  <c r="E1977" i="59"/>
  <c r="H1976" i="59"/>
  <c r="G1976" i="59"/>
  <c r="F1976" i="59"/>
  <c r="E1976" i="59"/>
  <c r="H1974" i="59"/>
  <c r="H1973" i="59"/>
  <c r="H1972" i="59"/>
  <c r="H1971" i="59"/>
  <c r="H1970" i="59"/>
  <c r="H1969" i="59"/>
  <c r="H1968" i="59"/>
  <c r="H1967" i="59"/>
  <c r="H1966" i="59"/>
  <c r="H1965" i="59"/>
  <c r="H1964" i="59"/>
  <c r="H1963" i="59"/>
  <c r="H1962" i="59"/>
  <c r="H1961" i="59"/>
  <c r="H1960" i="59"/>
  <c r="H1959" i="59"/>
  <c r="H1958" i="59"/>
  <c r="H1957" i="59"/>
  <c r="G1956" i="59"/>
  <c r="H1956" i="59" s="1"/>
  <c r="F1956" i="59"/>
  <c r="E1956" i="59"/>
  <c r="H1954" i="59"/>
  <c r="H1953" i="59"/>
  <c r="H1952" i="59"/>
  <c r="G1952" i="59"/>
  <c r="F1952" i="59"/>
  <c r="E1952" i="59"/>
  <c r="H1950" i="59"/>
  <c r="H1949" i="59"/>
  <c r="G1948" i="59"/>
  <c r="F1948" i="59"/>
  <c r="F1942" i="59" s="1"/>
  <c r="F1941" i="59" s="1"/>
  <c r="F1940" i="59" s="1"/>
  <c r="E1948" i="59"/>
  <c r="H1946" i="59"/>
  <c r="H1945" i="59"/>
  <c r="H1944" i="59"/>
  <c r="G1943" i="59"/>
  <c r="H1943" i="59" s="1"/>
  <c r="F1943" i="59"/>
  <c r="E1943" i="59"/>
  <c r="G1942" i="59"/>
  <c r="H1942" i="59" s="1"/>
  <c r="E1942" i="59"/>
  <c r="E1941" i="59" s="1"/>
  <c r="E1940" i="59" s="1"/>
  <c r="G1941" i="59"/>
  <c r="H1941" i="59" s="1"/>
  <c r="G1940" i="59"/>
  <c r="H1940" i="59" s="1"/>
  <c r="H1939" i="59"/>
  <c r="H1938" i="59"/>
  <c r="H1937" i="59"/>
  <c r="H1936" i="59"/>
  <c r="G1936" i="59"/>
  <c r="F1936" i="59"/>
  <c r="E1936" i="59"/>
  <c r="H1935" i="59"/>
  <c r="G1935" i="59"/>
  <c r="F1935" i="59"/>
  <c r="E1935" i="59"/>
  <c r="H1934" i="59"/>
  <c r="G1934" i="59"/>
  <c r="F1934" i="59"/>
  <c r="E1934" i="59"/>
  <c r="H1933" i="59"/>
  <c r="E1933" i="59"/>
  <c r="G1932" i="59"/>
  <c r="F1932" i="59"/>
  <c r="H1932" i="59" s="1"/>
  <c r="E1932" i="59"/>
  <c r="G1931" i="59"/>
  <c r="E1931" i="59"/>
  <c r="H1929" i="59"/>
  <c r="H1928" i="59"/>
  <c r="E1928" i="59"/>
  <c r="E1926" i="59" s="1"/>
  <c r="E1925" i="59" s="1"/>
  <c r="E1924" i="59" s="1"/>
  <c r="H1927" i="59"/>
  <c r="G1926" i="59"/>
  <c r="F1926" i="59"/>
  <c r="G1925" i="59"/>
  <c r="G1924" i="59"/>
  <c r="H1923" i="59"/>
  <c r="G1922" i="59"/>
  <c r="H1922" i="59" s="1"/>
  <c r="F1922" i="59"/>
  <c r="E1922" i="59"/>
  <c r="F1921" i="59"/>
  <c r="E1921" i="59"/>
  <c r="H1919" i="59"/>
  <c r="H1918" i="59"/>
  <c r="G1917" i="59"/>
  <c r="H1917" i="59" s="1"/>
  <c r="F1917" i="59"/>
  <c r="E1917" i="59"/>
  <c r="E1916" i="59" s="1"/>
  <c r="E1915" i="59" s="1"/>
  <c r="G1916" i="59"/>
  <c r="H1916" i="59" s="1"/>
  <c r="F1916" i="59"/>
  <c r="F1915" i="59"/>
  <c r="H1914" i="59"/>
  <c r="G1913" i="59"/>
  <c r="F1913" i="59"/>
  <c r="E1913" i="59"/>
  <c r="G1912" i="59"/>
  <c r="G1906" i="59" s="1"/>
  <c r="E1912" i="59"/>
  <c r="H1910" i="59"/>
  <c r="H1909" i="59"/>
  <c r="H1908" i="59"/>
  <c r="G1908" i="59"/>
  <c r="F1908" i="59"/>
  <c r="E1908" i="59"/>
  <c r="H1907" i="59"/>
  <c r="G1907" i="59"/>
  <c r="F1907" i="59"/>
  <c r="E1907" i="59"/>
  <c r="E1906" i="59"/>
  <c r="H1905" i="59"/>
  <c r="H1904" i="59"/>
  <c r="G1903" i="59"/>
  <c r="F1903" i="59"/>
  <c r="E1903" i="59"/>
  <c r="G1902" i="59"/>
  <c r="E1902" i="59"/>
  <c r="G1901" i="59"/>
  <c r="E1901" i="59"/>
  <c r="H1900" i="59"/>
  <c r="H1899" i="59"/>
  <c r="H1898" i="59"/>
  <c r="G1898" i="59"/>
  <c r="F1898" i="59"/>
  <c r="E1898" i="59"/>
  <c r="H1896" i="59"/>
  <c r="H1895" i="59"/>
  <c r="H1894" i="59"/>
  <c r="G1893" i="59"/>
  <c r="F1892" i="59"/>
  <c r="E1892" i="59"/>
  <c r="E1891" i="59" s="1"/>
  <c r="E1884" i="59" s="1"/>
  <c r="F1891" i="59"/>
  <c r="H1889" i="59"/>
  <c r="H1888" i="59"/>
  <c r="H1887" i="59"/>
  <c r="H1886" i="59"/>
  <c r="G1886" i="59"/>
  <c r="F1886" i="59"/>
  <c r="E1886" i="59"/>
  <c r="H1885" i="59"/>
  <c r="G1885" i="59"/>
  <c r="F1885" i="59"/>
  <c r="E1885" i="59"/>
  <c r="F1884" i="59"/>
  <c r="H1883" i="59"/>
  <c r="H1882" i="59"/>
  <c r="G1881" i="59"/>
  <c r="F1881" i="59"/>
  <c r="H1881" i="59" s="1"/>
  <c r="E1881" i="59"/>
  <c r="G1880" i="59"/>
  <c r="E1880" i="59"/>
  <c r="G1879" i="59"/>
  <c r="E1879" i="59"/>
  <c r="H1878" i="59"/>
  <c r="G1877" i="59"/>
  <c r="H1877" i="59" s="1"/>
  <c r="F1877" i="59"/>
  <c r="E1877" i="59"/>
  <c r="G1876" i="59"/>
  <c r="F1876" i="59"/>
  <c r="E1876" i="59"/>
  <c r="H1874" i="59"/>
  <c r="H1873" i="59"/>
  <c r="G1872" i="59"/>
  <c r="H1872" i="59" s="1"/>
  <c r="F1872" i="59"/>
  <c r="E1872" i="59"/>
  <c r="G1871" i="59"/>
  <c r="H1871" i="59" s="1"/>
  <c r="F1871" i="59"/>
  <c r="E1871" i="59"/>
  <c r="E1870" i="59" s="1"/>
  <c r="F1870" i="59"/>
  <c r="H1869" i="59"/>
  <c r="H1868" i="59"/>
  <c r="G1867" i="59"/>
  <c r="F1867" i="59"/>
  <c r="E1867" i="59"/>
  <c r="H1865" i="59"/>
  <c r="H1864" i="59"/>
  <c r="G1863" i="59"/>
  <c r="H1863" i="59" s="1"/>
  <c r="F1863" i="59"/>
  <c r="E1863" i="59"/>
  <c r="E1862" i="59" s="1"/>
  <c r="E1861" i="59" s="1"/>
  <c r="E1860" i="59" s="1"/>
  <c r="F1862" i="59"/>
  <c r="F1861" i="59"/>
  <c r="H1859" i="59"/>
  <c r="G1858" i="59"/>
  <c r="F1858" i="59"/>
  <c r="E1858" i="59"/>
  <c r="G1857" i="59"/>
  <c r="E1857" i="59"/>
  <c r="H1855" i="59"/>
  <c r="G1854" i="59"/>
  <c r="H1854" i="59" s="1"/>
  <c r="F1854" i="59"/>
  <c r="E1854" i="59"/>
  <c r="H1852" i="59"/>
  <c r="H1851" i="59"/>
  <c r="H1850" i="59"/>
  <c r="H1849" i="59"/>
  <c r="G1848" i="59"/>
  <c r="H1848" i="59" s="1"/>
  <c r="F1848" i="59"/>
  <c r="E1848" i="59"/>
  <c r="G1847" i="59"/>
  <c r="F1847" i="59"/>
  <c r="E1847" i="59"/>
  <c r="F1846" i="59"/>
  <c r="E1846" i="59"/>
  <c r="E1845" i="59"/>
  <c r="H1844" i="59"/>
  <c r="H1843" i="59"/>
  <c r="G1842" i="59"/>
  <c r="H1842" i="59" s="1"/>
  <c r="F1842" i="59"/>
  <c r="E1842" i="59"/>
  <c r="E1836" i="59" s="1"/>
  <c r="E1835" i="59" s="1"/>
  <c r="E1834" i="59" s="1"/>
  <c r="H1840" i="59"/>
  <c r="H1839" i="59"/>
  <c r="H1838" i="59"/>
  <c r="H1837" i="59"/>
  <c r="G1837" i="59"/>
  <c r="F1837" i="59"/>
  <c r="E1837" i="59"/>
  <c r="F1836" i="59"/>
  <c r="F1835" i="59"/>
  <c r="F1834" i="59"/>
  <c r="H1833" i="59"/>
  <c r="G1832" i="59"/>
  <c r="H1832" i="59" s="1"/>
  <c r="F1832" i="59"/>
  <c r="E1832" i="59"/>
  <c r="G1831" i="59"/>
  <c r="H1831" i="59" s="1"/>
  <c r="F1831" i="59"/>
  <c r="E1831" i="59"/>
  <c r="E1830" i="59" s="1"/>
  <c r="E1829" i="59" s="1"/>
  <c r="G1830" i="59"/>
  <c r="H1830" i="59" s="1"/>
  <c r="F1830" i="59"/>
  <c r="G1829" i="59"/>
  <c r="H1829" i="59" s="1"/>
  <c r="F1829" i="59"/>
  <c r="H1828" i="59"/>
  <c r="G1827" i="59"/>
  <c r="F1827" i="59"/>
  <c r="H1827" i="59" s="1"/>
  <c r="E1827" i="59"/>
  <c r="G1826" i="59"/>
  <c r="F1826" i="59"/>
  <c r="H1826" i="59" s="1"/>
  <c r="E1826" i="59"/>
  <c r="H1824" i="59"/>
  <c r="G1823" i="59"/>
  <c r="F1823" i="59"/>
  <c r="E1823" i="59"/>
  <c r="E1817" i="59" s="1"/>
  <c r="E1816" i="59" s="1"/>
  <c r="E1815" i="59" s="1"/>
  <c r="H1821" i="59"/>
  <c r="H1820" i="59"/>
  <c r="H1819" i="59"/>
  <c r="G1818" i="59"/>
  <c r="F1818" i="59"/>
  <c r="H1818" i="59" s="1"/>
  <c r="E1818" i="59"/>
  <c r="F1817" i="59"/>
  <c r="F1816" i="59" s="1"/>
  <c r="F1815" i="59" s="1"/>
  <c r="H1814" i="59"/>
  <c r="G1813" i="59"/>
  <c r="F1813" i="59"/>
  <c r="E1813" i="59"/>
  <c r="F1812" i="59"/>
  <c r="E1812" i="59"/>
  <c r="F1811" i="59"/>
  <c r="E1811" i="59"/>
  <c r="H1810" i="59"/>
  <c r="H1809" i="59"/>
  <c r="G1809" i="59"/>
  <c r="F1809" i="59"/>
  <c r="E1809" i="59"/>
  <c r="H1808" i="59"/>
  <c r="G1808" i="59"/>
  <c r="F1808" i="59"/>
  <c r="E1808" i="59"/>
  <c r="H1807" i="59"/>
  <c r="G1807" i="59"/>
  <c r="F1807" i="59"/>
  <c r="E1807" i="59"/>
  <c r="H1806" i="59"/>
  <c r="G1806" i="59"/>
  <c r="F1806" i="59"/>
  <c r="E1806" i="59"/>
  <c r="H1805" i="59"/>
  <c r="G1804" i="59"/>
  <c r="H1804" i="59" s="1"/>
  <c r="F1804" i="59"/>
  <c r="E1804" i="59"/>
  <c r="H1802" i="59"/>
  <c r="E1802" i="59"/>
  <c r="E1800" i="59" s="1"/>
  <c r="E1799" i="59" s="1"/>
  <c r="E1798" i="59" s="1"/>
  <c r="E1797" i="59" s="1"/>
  <c r="H1801" i="59"/>
  <c r="H1800" i="59"/>
  <c r="G1800" i="59"/>
  <c r="F1800" i="59"/>
  <c r="H1799" i="59"/>
  <c r="G1799" i="59"/>
  <c r="F1799" i="59"/>
  <c r="F1798" i="59"/>
  <c r="F1797" i="59"/>
  <c r="H1796" i="59"/>
  <c r="G1795" i="59"/>
  <c r="H1795" i="59" s="1"/>
  <c r="F1795" i="59"/>
  <c r="E1795" i="59"/>
  <c r="E1794" i="59" s="1"/>
  <c r="E1793" i="59" s="1"/>
  <c r="G1794" i="59"/>
  <c r="H1794" i="59" s="1"/>
  <c r="F1794" i="59"/>
  <c r="G1793" i="59"/>
  <c r="H1793" i="59" s="1"/>
  <c r="F1793" i="59"/>
  <c r="H1791" i="59"/>
  <c r="H1790" i="59"/>
  <c r="H1789" i="59"/>
  <c r="H1788" i="59"/>
  <c r="G1788" i="59"/>
  <c r="F1788" i="59"/>
  <c r="F1783" i="59" s="1"/>
  <c r="F1782" i="59" s="1"/>
  <c r="E1788" i="59"/>
  <c r="H1786" i="59"/>
  <c r="G1785" i="59"/>
  <c r="H1785" i="59" s="1"/>
  <c r="F1785" i="59"/>
  <c r="E1785" i="59"/>
  <c r="E1784" i="59" s="1"/>
  <c r="E1783" i="59" s="1"/>
  <c r="E1782" i="59" s="1"/>
  <c r="G1784" i="59"/>
  <c r="H1784" i="59" s="1"/>
  <c r="F1784" i="59"/>
  <c r="G1783" i="59"/>
  <c r="H1783" i="59" s="1"/>
  <c r="G1782" i="59"/>
  <c r="H1782" i="59" s="1"/>
  <c r="H1781" i="59"/>
  <c r="G1780" i="59"/>
  <c r="F1780" i="59"/>
  <c r="F1755" i="59" s="1"/>
  <c r="F1754" i="59" s="1"/>
  <c r="E1780" i="59"/>
  <c r="H1778" i="59"/>
  <c r="H1777" i="59"/>
  <c r="H1776" i="59"/>
  <c r="H1775" i="59"/>
  <c r="H1774" i="59"/>
  <c r="H1773" i="59"/>
  <c r="H1772" i="59"/>
  <c r="H1771" i="59"/>
  <c r="H1770" i="59"/>
  <c r="H1769" i="59"/>
  <c r="H1768" i="59"/>
  <c r="H1767" i="59"/>
  <c r="H1766" i="59"/>
  <c r="H1765" i="59"/>
  <c r="H1764" i="59"/>
  <c r="G1763" i="59"/>
  <c r="F1763" i="59"/>
  <c r="E1763" i="59"/>
  <c r="H1761" i="59"/>
  <c r="H1760" i="59"/>
  <c r="H1759" i="59"/>
  <c r="H1758" i="59"/>
  <c r="G1757" i="59"/>
  <c r="H1757" i="59" s="1"/>
  <c r="F1757" i="59"/>
  <c r="E1757" i="59"/>
  <c r="F1756" i="59"/>
  <c r="E1756" i="59"/>
  <c r="E1755" i="59" s="1"/>
  <c r="E1754" i="59"/>
  <c r="H1753" i="59"/>
  <c r="H1752" i="59"/>
  <c r="H1751" i="59"/>
  <c r="H1750" i="59"/>
  <c r="H1749" i="59"/>
  <c r="H1748" i="59"/>
  <c r="H1747" i="59"/>
  <c r="H1746" i="59"/>
  <c r="H1745" i="59"/>
  <c r="G1744" i="59"/>
  <c r="F1744" i="59"/>
  <c r="E1744" i="59"/>
  <c r="H1742" i="59"/>
  <c r="G1741" i="59"/>
  <c r="H1741" i="59" s="1"/>
  <c r="F1741" i="59"/>
  <c r="E1741" i="59"/>
  <c r="G1740" i="59"/>
  <c r="E1740" i="59"/>
  <c r="E1739" i="59" s="1"/>
  <c r="G1739" i="59"/>
  <c r="H1738" i="59"/>
  <c r="H1737" i="59"/>
  <c r="G1736" i="59"/>
  <c r="F1736" i="59"/>
  <c r="E1736" i="59"/>
  <c r="E1735" i="59" s="1"/>
  <c r="E1734" i="59" s="1"/>
  <c r="E1733" i="59" s="1"/>
  <c r="E1732" i="59" s="1"/>
  <c r="F1735" i="59"/>
  <c r="F1734" i="59"/>
  <c r="F1733" i="59"/>
  <c r="H1731" i="59"/>
  <c r="G1730" i="59"/>
  <c r="H1730" i="59" s="1"/>
  <c r="F1730" i="59"/>
  <c r="E1730" i="59"/>
  <c r="G1729" i="59"/>
  <c r="H1729" i="59" s="1"/>
  <c r="F1729" i="59"/>
  <c r="E1729" i="59"/>
  <c r="E1728" i="59" s="1"/>
  <c r="G1728" i="59"/>
  <c r="H1728" i="59" s="1"/>
  <c r="F1728" i="59"/>
  <c r="H1727" i="59"/>
  <c r="H1726" i="59"/>
  <c r="H1725" i="59"/>
  <c r="H1724" i="59"/>
  <c r="H1723" i="59"/>
  <c r="H1722" i="59"/>
  <c r="H1721" i="59"/>
  <c r="H1720" i="59"/>
  <c r="H1719" i="59"/>
  <c r="H1718" i="59"/>
  <c r="H1717" i="59"/>
  <c r="H1716" i="59"/>
  <c r="H1715" i="59"/>
  <c r="H1714" i="59"/>
  <c r="H1713" i="59"/>
  <c r="H1712" i="59"/>
  <c r="H1711" i="59"/>
  <c r="H1710" i="59"/>
  <c r="H1709" i="59"/>
  <c r="H1708" i="59"/>
  <c r="H1707" i="59"/>
  <c r="H1706" i="59"/>
  <c r="H1705" i="59"/>
  <c r="H1704" i="59"/>
  <c r="G1704" i="59"/>
  <c r="F1704" i="59"/>
  <c r="E1704" i="59"/>
  <c r="H1703" i="59"/>
  <c r="G1703" i="59"/>
  <c r="F1703" i="59"/>
  <c r="E1703" i="59"/>
  <c r="H1702" i="59"/>
  <c r="G1702" i="59"/>
  <c r="F1702" i="59"/>
  <c r="E1702" i="59"/>
  <c r="H1701" i="59"/>
  <c r="G1700" i="59"/>
  <c r="H1700" i="59" s="1"/>
  <c r="F1700" i="59"/>
  <c r="E1700" i="59"/>
  <c r="E1683" i="59" s="1"/>
  <c r="E1682" i="59" s="1"/>
  <c r="H1698" i="59"/>
  <c r="H1697" i="59"/>
  <c r="H1696" i="59"/>
  <c r="H1695" i="59"/>
  <c r="H1694" i="59"/>
  <c r="H1693" i="59"/>
  <c r="H1692" i="59"/>
  <c r="H1691" i="59"/>
  <c r="G1691" i="59"/>
  <c r="F1691" i="59"/>
  <c r="E1691" i="59"/>
  <c r="H1689" i="59"/>
  <c r="H1688" i="59"/>
  <c r="H1687" i="59"/>
  <c r="H1686" i="59"/>
  <c r="H1685" i="59"/>
  <c r="G1685" i="59"/>
  <c r="F1685" i="59"/>
  <c r="E1685" i="59"/>
  <c r="H1684" i="59"/>
  <c r="G1684" i="59"/>
  <c r="F1684" i="59"/>
  <c r="E1684" i="59"/>
  <c r="F1683" i="59"/>
  <c r="F1682" i="59"/>
  <c r="F1681" i="59"/>
  <c r="H1680" i="59"/>
  <c r="H1679" i="59"/>
  <c r="G1678" i="59"/>
  <c r="F1678" i="59"/>
  <c r="H1678" i="59" s="1"/>
  <c r="E1678" i="59"/>
  <c r="G1677" i="59"/>
  <c r="F1677" i="59"/>
  <c r="H1677" i="59" s="1"/>
  <c r="E1677" i="59"/>
  <c r="H1675" i="59"/>
  <c r="H1674" i="59"/>
  <c r="H1673" i="59"/>
  <c r="H1672" i="59"/>
  <c r="H1671" i="59"/>
  <c r="H1670" i="59"/>
  <c r="H1669" i="59"/>
  <c r="H1668" i="59"/>
  <c r="H1667" i="59"/>
  <c r="H1666" i="59"/>
  <c r="H1665" i="59"/>
  <c r="H1664" i="59"/>
  <c r="H1663" i="59"/>
  <c r="H1662" i="59"/>
  <c r="H1661" i="59"/>
  <c r="H1660" i="59"/>
  <c r="G1659" i="59"/>
  <c r="F1659" i="59"/>
  <c r="E1659" i="59"/>
  <c r="H1657" i="59"/>
  <c r="H1656" i="59"/>
  <c r="H1655" i="59"/>
  <c r="H1654" i="59"/>
  <c r="H1653" i="59"/>
  <c r="E1653" i="59"/>
  <c r="H1652" i="59"/>
  <c r="G1652" i="59"/>
  <c r="F1652" i="59"/>
  <c r="E1652" i="59"/>
  <c r="G1651" i="59"/>
  <c r="E1651" i="59"/>
  <c r="G1650" i="59"/>
  <c r="E1650" i="59"/>
  <c r="H1649" i="59"/>
  <c r="H1648" i="59"/>
  <c r="G1647" i="59"/>
  <c r="F1647" i="59"/>
  <c r="E1647" i="59"/>
  <c r="H1645" i="59"/>
  <c r="H1644" i="59"/>
  <c r="H1643" i="59"/>
  <c r="H1642" i="59"/>
  <c r="G1641" i="59"/>
  <c r="F1641" i="59"/>
  <c r="H1641" i="59" s="1"/>
  <c r="E1641" i="59"/>
  <c r="G1640" i="59"/>
  <c r="F1640" i="59"/>
  <c r="H1640" i="59" s="1"/>
  <c r="E1640" i="59"/>
  <c r="H1638" i="59"/>
  <c r="E1638" i="59"/>
  <c r="H1637" i="59"/>
  <c r="E1637" i="59"/>
  <c r="H1636" i="59"/>
  <c r="E1636" i="59"/>
  <c r="H1635" i="59"/>
  <c r="E1635" i="59"/>
  <c r="H1634" i="59"/>
  <c r="E1634" i="59"/>
  <c r="H1633" i="59"/>
  <c r="E1633" i="59"/>
  <c r="H1632" i="59"/>
  <c r="E1632" i="59"/>
  <c r="H1631" i="59"/>
  <c r="E1631" i="59"/>
  <c r="H1630" i="59"/>
  <c r="E1630" i="59"/>
  <c r="H1629" i="59"/>
  <c r="E1629" i="59"/>
  <c r="H1628" i="59"/>
  <c r="H1627" i="59"/>
  <c r="H1626" i="59"/>
  <c r="E1626" i="59"/>
  <c r="H1625" i="59"/>
  <c r="E1625" i="59"/>
  <c r="H1624" i="59"/>
  <c r="E1624" i="59"/>
  <c r="H1623" i="59"/>
  <c r="E1623" i="59"/>
  <c r="H1622" i="59"/>
  <c r="E1622" i="59"/>
  <c r="H1621" i="59"/>
  <c r="E1621" i="59"/>
  <c r="H1620" i="59"/>
  <c r="E1620" i="59"/>
  <c r="H1619" i="59"/>
  <c r="E1619" i="59"/>
  <c r="H1618" i="59"/>
  <c r="E1618" i="59"/>
  <c r="H1617" i="59"/>
  <c r="E1617" i="59"/>
  <c r="H1616" i="59"/>
  <c r="E1616" i="59"/>
  <c r="H1615" i="59"/>
  <c r="E1615" i="59"/>
  <c r="H1614" i="59"/>
  <c r="E1614" i="59"/>
  <c r="H1613" i="59"/>
  <c r="E1613" i="59"/>
  <c r="H1612" i="59"/>
  <c r="E1612" i="59"/>
  <c r="H1611" i="59"/>
  <c r="E1611" i="59"/>
  <c r="H1610" i="59"/>
  <c r="E1610" i="59"/>
  <c r="H1609" i="59"/>
  <c r="E1609" i="59"/>
  <c r="H1608" i="59"/>
  <c r="E1608" i="59"/>
  <c r="H1607" i="59"/>
  <c r="E1607" i="59"/>
  <c r="H1606" i="59"/>
  <c r="E1606" i="59"/>
  <c r="H1605" i="59"/>
  <c r="E1605" i="59"/>
  <c r="H1604" i="59"/>
  <c r="E1604" i="59"/>
  <c r="H1603" i="59"/>
  <c r="E1603" i="59"/>
  <c r="H1602" i="59"/>
  <c r="E1602" i="59"/>
  <c r="H1601" i="59"/>
  <c r="E1601" i="59"/>
  <c r="H1600" i="59"/>
  <c r="G1600" i="59"/>
  <c r="F1600" i="59"/>
  <c r="E1600" i="59"/>
  <c r="H1598" i="59"/>
  <c r="H1597" i="59"/>
  <c r="G1596" i="59"/>
  <c r="F1596" i="59"/>
  <c r="H1596" i="59" s="1"/>
  <c r="E1596" i="59"/>
  <c r="H1594" i="59"/>
  <c r="H1593" i="59"/>
  <c r="H1592" i="59"/>
  <c r="H1591" i="59"/>
  <c r="H1590" i="59"/>
  <c r="H1589" i="59"/>
  <c r="H1588" i="59"/>
  <c r="H1587" i="59"/>
  <c r="H1586" i="59"/>
  <c r="H1585" i="59"/>
  <c r="H1584" i="59"/>
  <c r="H1583" i="59"/>
  <c r="H1582" i="59"/>
  <c r="H1581" i="59"/>
  <c r="H1580" i="59"/>
  <c r="H1579" i="59"/>
  <c r="H1578" i="59"/>
  <c r="H1577" i="59"/>
  <c r="H1576" i="59"/>
  <c r="G1575" i="59"/>
  <c r="H1575" i="59" s="1"/>
  <c r="F1575" i="59"/>
  <c r="E1575" i="59"/>
  <c r="E1567" i="59" s="1"/>
  <c r="E1566" i="59" s="1"/>
  <c r="E1565" i="59" s="1"/>
  <c r="H1573" i="59"/>
  <c r="H1572" i="59"/>
  <c r="H1571" i="59"/>
  <c r="H1570" i="59"/>
  <c r="H1569" i="59"/>
  <c r="G1568" i="59"/>
  <c r="F1568" i="59"/>
  <c r="H1568" i="59" s="1"/>
  <c r="E1568" i="59"/>
  <c r="F1567" i="59"/>
  <c r="F1566" i="59"/>
  <c r="F1565" i="59" s="1"/>
  <c r="H1564" i="59"/>
  <c r="G1563" i="59"/>
  <c r="H1563" i="59" s="1"/>
  <c r="F1563" i="59"/>
  <c r="E1563" i="59"/>
  <c r="G1562" i="59"/>
  <c r="F1562" i="59"/>
  <c r="E1562" i="59"/>
  <c r="E1555" i="59" s="1"/>
  <c r="E1554" i="59" s="1"/>
  <c r="H1560" i="59"/>
  <c r="H1559" i="59"/>
  <c r="H1558" i="59"/>
  <c r="G1557" i="59"/>
  <c r="F1557" i="59"/>
  <c r="H1557" i="59" s="1"/>
  <c r="E1557" i="59"/>
  <c r="G1556" i="59"/>
  <c r="F1556" i="59"/>
  <c r="E1556" i="59"/>
  <c r="H1553" i="59"/>
  <c r="H1552" i="59"/>
  <c r="H1551" i="59"/>
  <c r="H1550" i="59"/>
  <c r="G1549" i="59"/>
  <c r="F1549" i="59"/>
  <c r="H1549" i="59" s="1"/>
  <c r="E1549" i="59"/>
  <c r="G1548" i="59"/>
  <c r="F1548" i="59"/>
  <c r="E1548" i="59"/>
  <c r="H1546" i="59"/>
  <c r="H1545" i="59"/>
  <c r="H1544" i="59"/>
  <c r="H1543" i="59"/>
  <c r="H1542" i="59"/>
  <c r="H1541" i="59"/>
  <c r="H1540" i="59"/>
  <c r="H1539" i="59"/>
  <c r="H1538" i="59"/>
  <c r="H1537" i="59"/>
  <c r="H1536" i="59"/>
  <c r="H1535" i="59"/>
  <c r="H1534" i="59"/>
  <c r="H1533" i="59"/>
  <c r="H1532" i="59"/>
  <c r="H1531" i="59"/>
  <c r="H1530" i="59"/>
  <c r="H1529" i="59"/>
  <c r="H1528" i="59"/>
  <c r="H1527" i="59"/>
  <c r="H1526" i="59"/>
  <c r="H1525" i="59"/>
  <c r="H1524" i="59"/>
  <c r="H1523" i="59"/>
  <c r="H1522" i="59"/>
  <c r="H1521" i="59"/>
  <c r="H1520" i="59"/>
  <c r="H1519" i="59"/>
  <c r="H1518" i="59"/>
  <c r="H1517" i="59"/>
  <c r="H1516" i="59"/>
  <c r="H1515" i="59"/>
  <c r="H1514" i="59"/>
  <c r="H1513" i="59"/>
  <c r="H1512" i="59"/>
  <c r="H1511" i="59"/>
  <c r="H1510" i="59"/>
  <c r="H1509" i="59"/>
  <c r="H1508" i="59"/>
  <c r="H1507" i="59"/>
  <c r="H1506" i="59"/>
  <c r="H1505" i="59"/>
  <c r="H1504" i="59"/>
  <c r="H1503" i="59"/>
  <c r="H1502" i="59"/>
  <c r="H1501" i="59"/>
  <c r="H1498" i="59"/>
  <c r="H1497" i="59"/>
  <c r="H1496" i="59"/>
  <c r="G1495" i="59"/>
  <c r="F1495" i="59"/>
  <c r="E1495" i="59"/>
  <c r="E1487" i="59" s="1"/>
  <c r="E1486" i="59" s="1"/>
  <c r="H1493" i="59"/>
  <c r="H1492" i="59"/>
  <c r="H1491" i="59"/>
  <c r="H1490" i="59"/>
  <c r="H1489" i="59"/>
  <c r="H1488" i="59"/>
  <c r="G1488" i="59"/>
  <c r="F1488" i="59"/>
  <c r="E1488" i="59"/>
  <c r="F1487" i="59"/>
  <c r="H1485" i="59"/>
  <c r="G1484" i="59"/>
  <c r="H1484" i="59" s="1"/>
  <c r="F1484" i="59"/>
  <c r="E1484" i="59"/>
  <c r="G1483" i="59"/>
  <c r="H1483" i="59" s="1"/>
  <c r="F1483" i="59"/>
  <c r="E1483" i="59"/>
  <c r="E1482" i="59" s="1"/>
  <c r="G1482" i="59"/>
  <c r="H1482" i="59" s="1"/>
  <c r="F1482" i="59"/>
  <c r="G1480" i="59"/>
  <c r="F1480" i="59"/>
  <c r="F1479" i="59" s="1"/>
  <c r="E1480" i="59"/>
  <c r="G1479" i="59"/>
  <c r="E1479" i="59"/>
  <c r="H1476" i="59"/>
  <c r="H1475" i="59"/>
  <c r="H1474" i="59"/>
  <c r="H1473" i="59"/>
  <c r="H1472" i="59"/>
  <c r="H1471" i="59"/>
  <c r="H1470" i="59"/>
  <c r="H1469" i="59"/>
  <c r="H1468" i="59"/>
  <c r="H1467" i="59"/>
  <c r="G1467" i="59"/>
  <c r="F1467" i="59"/>
  <c r="E1467" i="59"/>
  <c r="H1465" i="59"/>
  <c r="G1464" i="59"/>
  <c r="H1464" i="59" s="1"/>
  <c r="F1464" i="59"/>
  <c r="E1464" i="59"/>
  <c r="H1462" i="59"/>
  <c r="H1461" i="59"/>
  <c r="H1460" i="59"/>
  <c r="H1459" i="59"/>
  <c r="H1458" i="59"/>
  <c r="H1457" i="59"/>
  <c r="H1456" i="59"/>
  <c r="H1455" i="59"/>
  <c r="H1454" i="59"/>
  <c r="H1451" i="59"/>
  <c r="G1450" i="59"/>
  <c r="H1450" i="59" s="1"/>
  <c r="H1449" i="59"/>
  <c r="H1448" i="59"/>
  <c r="G1447" i="59"/>
  <c r="H1446" i="59"/>
  <c r="H1445" i="59"/>
  <c r="H1444" i="59"/>
  <c r="H1443" i="59"/>
  <c r="F1442" i="59"/>
  <c r="E1442" i="59"/>
  <c r="E1434" i="59" s="1"/>
  <c r="E1433" i="59" s="1"/>
  <c r="E1432" i="59" s="1"/>
  <c r="H1440" i="59"/>
  <c r="H1439" i="59"/>
  <c r="H1438" i="59"/>
  <c r="H1437" i="59"/>
  <c r="H1436" i="59"/>
  <c r="G1435" i="59"/>
  <c r="F1435" i="59"/>
  <c r="E1435" i="59"/>
  <c r="H1431" i="59"/>
  <c r="G1430" i="59"/>
  <c r="H1430" i="59" s="1"/>
  <c r="F1430" i="59"/>
  <c r="E1430" i="59"/>
  <c r="F1429" i="59"/>
  <c r="E1429" i="59"/>
  <c r="E1425" i="59" s="1"/>
  <c r="H1428" i="59"/>
  <c r="H1427" i="59"/>
  <c r="G1427" i="59"/>
  <c r="F1427" i="59"/>
  <c r="E1427" i="59"/>
  <c r="H1426" i="59"/>
  <c r="G1426" i="59"/>
  <c r="F1426" i="59"/>
  <c r="E1426" i="59"/>
  <c r="F1425" i="59"/>
  <c r="H1424" i="59"/>
  <c r="G1423" i="59"/>
  <c r="H1423" i="59" s="1"/>
  <c r="F1423" i="59"/>
  <c r="E1423" i="59"/>
  <c r="E1422" i="59" s="1"/>
  <c r="E1421" i="59" s="1"/>
  <c r="E1420" i="59" s="1"/>
  <c r="G1422" i="59"/>
  <c r="H1422" i="59" s="1"/>
  <c r="F1422" i="59"/>
  <c r="G1421" i="59"/>
  <c r="H1421" i="59" s="1"/>
  <c r="F1421" i="59"/>
  <c r="H1419" i="59"/>
  <c r="G1418" i="59"/>
  <c r="F1418" i="59"/>
  <c r="E1418" i="59"/>
  <c r="H1416" i="59"/>
  <c r="G1415" i="59"/>
  <c r="H1415" i="59" s="1"/>
  <c r="F1415" i="59"/>
  <c r="E1415" i="59"/>
  <c r="G1414" i="59"/>
  <c r="E1414" i="59"/>
  <c r="G1413" i="59"/>
  <c r="E1413" i="59"/>
  <c r="E1412" i="59"/>
  <c r="H1411" i="59"/>
  <c r="H1410" i="59"/>
  <c r="G1410" i="59"/>
  <c r="F1410" i="59"/>
  <c r="E1410" i="59"/>
  <c r="H1409" i="59"/>
  <c r="G1409" i="59"/>
  <c r="F1409" i="59"/>
  <c r="E1409" i="59"/>
  <c r="H1408" i="59"/>
  <c r="G1408" i="59"/>
  <c r="F1408" i="59"/>
  <c r="E1408" i="59"/>
  <c r="H1407" i="59"/>
  <c r="G1407" i="59"/>
  <c r="F1407" i="59"/>
  <c r="E1407" i="59"/>
  <c r="H1406" i="59"/>
  <c r="G1405" i="59"/>
  <c r="H1405" i="59" s="1"/>
  <c r="F1405" i="59"/>
  <c r="E1405" i="59"/>
  <c r="E1399" i="59" s="1"/>
  <c r="E1398" i="59" s="1"/>
  <c r="H1403" i="59"/>
  <c r="H1402" i="59"/>
  <c r="G1401" i="59"/>
  <c r="H1401" i="59" s="1"/>
  <c r="F1401" i="59"/>
  <c r="E1401" i="59"/>
  <c r="G1400" i="59"/>
  <c r="H1400" i="59" s="1"/>
  <c r="F1400" i="59"/>
  <c r="E1400" i="59"/>
  <c r="F1399" i="59"/>
  <c r="F1398" i="59"/>
  <c r="H1397" i="59"/>
  <c r="H1396" i="59"/>
  <c r="G1396" i="59"/>
  <c r="F1396" i="59"/>
  <c r="E1396" i="59"/>
  <c r="H1395" i="59"/>
  <c r="G1395" i="59"/>
  <c r="F1395" i="59"/>
  <c r="E1395" i="59"/>
  <c r="H1394" i="59"/>
  <c r="G1394" i="59"/>
  <c r="F1394" i="59"/>
  <c r="E1394" i="59"/>
  <c r="H1393" i="59"/>
  <c r="G1392" i="59"/>
  <c r="H1392" i="59" s="1"/>
  <c r="F1392" i="59"/>
  <c r="E1392" i="59"/>
  <c r="G1391" i="59"/>
  <c r="H1391" i="59" s="1"/>
  <c r="F1391" i="59"/>
  <c r="E1391" i="59"/>
  <c r="E1390" i="59" s="1"/>
  <c r="G1390" i="59"/>
  <c r="H1390" i="59" s="1"/>
  <c r="F1390" i="59"/>
  <c r="H1389" i="59"/>
  <c r="G1388" i="59"/>
  <c r="F1388" i="59"/>
  <c r="E1388" i="59"/>
  <c r="H1386" i="59"/>
  <c r="G1385" i="59"/>
  <c r="H1385" i="59" s="1"/>
  <c r="F1385" i="59"/>
  <c r="E1385" i="59"/>
  <c r="G1384" i="59"/>
  <c r="F1384" i="59"/>
  <c r="E1384" i="59"/>
  <c r="E1383" i="59"/>
  <c r="E1382" i="59"/>
  <c r="H1381" i="59"/>
  <c r="H1380" i="59"/>
  <c r="G1380" i="59"/>
  <c r="F1380" i="59"/>
  <c r="E1380" i="59"/>
  <c r="H1379" i="59"/>
  <c r="G1379" i="59"/>
  <c r="F1379" i="59"/>
  <c r="F1374" i="59" s="1"/>
  <c r="E1379" i="59"/>
  <c r="H1377" i="59"/>
  <c r="G1376" i="59"/>
  <c r="H1376" i="59" s="1"/>
  <c r="F1376" i="59"/>
  <c r="E1376" i="59"/>
  <c r="G1375" i="59"/>
  <c r="H1375" i="59" s="1"/>
  <c r="F1375" i="59"/>
  <c r="E1375" i="59"/>
  <c r="G1374" i="59"/>
  <c r="E1374" i="59"/>
  <c r="H1373" i="59"/>
  <c r="G1372" i="59"/>
  <c r="F1372" i="59"/>
  <c r="H1372" i="59" s="1"/>
  <c r="E1372" i="59"/>
  <c r="G1371" i="59"/>
  <c r="F1371" i="59"/>
  <c r="H1371" i="59" s="1"/>
  <c r="E1371" i="59"/>
  <c r="G1370" i="59"/>
  <c r="E1370" i="59"/>
  <c r="H1369" i="59"/>
  <c r="G1368" i="59"/>
  <c r="F1368" i="59"/>
  <c r="E1368" i="59"/>
  <c r="F1367" i="59"/>
  <c r="E1367" i="59"/>
  <c r="E1362" i="59" s="1"/>
  <c r="H1365" i="59"/>
  <c r="H1364" i="59"/>
  <c r="G1364" i="59"/>
  <c r="F1364" i="59"/>
  <c r="E1364" i="59"/>
  <c r="H1363" i="59"/>
  <c r="G1363" i="59"/>
  <c r="F1363" i="59"/>
  <c r="E1363" i="59"/>
  <c r="F1362" i="59"/>
  <c r="H1361" i="59"/>
  <c r="G1360" i="59"/>
  <c r="H1360" i="59" s="1"/>
  <c r="F1360" i="59"/>
  <c r="E1360" i="59"/>
  <c r="E1359" i="59" s="1"/>
  <c r="E1358" i="59" s="1"/>
  <c r="G1359" i="59"/>
  <c r="H1359" i="59" s="1"/>
  <c r="F1359" i="59"/>
  <c r="G1358" i="59"/>
  <c r="H1358" i="59" s="1"/>
  <c r="F1358" i="59"/>
  <c r="H1357" i="59"/>
  <c r="H1356" i="59"/>
  <c r="H1355" i="59"/>
  <c r="H1354" i="59"/>
  <c r="G1354" i="59"/>
  <c r="F1354" i="59"/>
  <c r="E1354" i="59"/>
  <c r="H1353" i="59"/>
  <c r="G1353" i="59"/>
  <c r="F1353" i="59"/>
  <c r="E1353" i="59"/>
  <c r="H1351" i="59"/>
  <c r="H1350" i="59"/>
  <c r="H1349" i="59"/>
  <c r="G1348" i="59"/>
  <c r="F1348" i="59"/>
  <c r="E1348" i="59"/>
  <c r="E1343" i="59" s="1"/>
  <c r="E1342" i="59" s="1"/>
  <c r="H1346" i="59"/>
  <c r="H1345" i="59"/>
  <c r="G1345" i="59"/>
  <c r="F1345" i="59"/>
  <c r="E1345" i="59"/>
  <c r="H1344" i="59"/>
  <c r="G1344" i="59"/>
  <c r="F1344" i="59"/>
  <c r="E1344" i="59"/>
  <c r="F1343" i="59"/>
  <c r="F1342" i="59"/>
  <c r="H1340" i="59"/>
  <c r="H1339" i="59"/>
  <c r="G1338" i="59"/>
  <c r="F1338" i="59"/>
  <c r="H1338" i="59" s="1"/>
  <c r="E1338" i="59"/>
  <c r="G1337" i="59"/>
  <c r="F1337" i="59"/>
  <c r="H1337" i="59" s="1"/>
  <c r="E1337" i="59"/>
  <c r="H1335" i="59"/>
  <c r="H1334" i="59"/>
  <c r="H1333" i="59"/>
  <c r="G1333" i="59"/>
  <c r="F1333" i="59"/>
  <c r="E1333" i="59"/>
  <c r="G1330" i="59"/>
  <c r="G1329" i="59" s="1"/>
  <c r="G1328" i="59" s="1"/>
  <c r="F1330" i="59"/>
  <c r="E1330" i="59"/>
  <c r="E1329" i="59" s="1"/>
  <c r="E1328" i="59" s="1"/>
  <c r="E1327" i="59" s="1"/>
  <c r="F1329" i="59"/>
  <c r="F1328" i="59"/>
  <c r="F1327" i="59" s="1"/>
  <c r="H1326" i="59"/>
  <c r="G1325" i="59"/>
  <c r="F1325" i="59"/>
  <c r="E1325" i="59"/>
  <c r="E1316" i="59" s="1"/>
  <c r="E1315" i="59" s="1"/>
  <c r="H1323" i="59"/>
  <c r="H1322" i="59"/>
  <c r="G1322" i="59"/>
  <c r="F1322" i="59"/>
  <c r="E1322" i="59"/>
  <c r="H1320" i="59"/>
  <c r="H1319" i="59"/>
  <c r="G1318" i="59"/>
  <c r="F1318" i="59"/>
  <c r="H1318" i="59" s="1"/>
  <c r="E1318" i="59"/>
  <c r="G1317" i="59"/>
  <c r="E1317" i="59"/>
  <c r="H1313" i="59"/>
  <c r="H1312" i="59"/>
  <c r="H1311" i="59"/>
  <c r="G1310" i="59"/>
  <c r="H1310" i="59" s="1"/>
  <c r="F1310" i="59"/>
  <c r="E1310" i="59"/>
  <c r="G1309" i="59"/>
  <c r="H1309" i="59" s="1"/>
  <c r="F1309" i="59"/>
  <c r="E1309" i="59"/>
  <c r="H1307" i="59"/>
  <c r="H1306" i="59"/>
  <c r="H1305" i="59"/>
  <c r="H1304" i="59"/>
  <c r="H1303" i="59"/>
  <c r="H1302" i="59"/>
  <c r="G1302" i="59"/>
  <c r="F1302" i="59"/>
  <c r="E1302" i="59"/>
  <c r="H1300" i="59"/>
  <c r="H1299" i="59"/>
  <c r="H1298" i="59"/>
  <c r="G1297" i="59"/>
  <c r="H1297" i="59" s="1"/>
  <c r="F1297" i="59"/>
  <c r="E1297" i="59"/>
  <c r="H1295" i="59"/>
  <c r="H1294" i="59"/>
  <c r="H1293" i="59"/>
  <c r="H1292" i="59"/>
  <c r="H1291" i="59"/>
  <c r="H1290" i="59"/>
  <c r="G1290" i="59"/>
  <c r="F1290" i="59"/>
  <c r="E1290" i="59"/>
  <c r="H1288" i="59"/>
  <c r="H1287" i="59"/>
  <c r="H1286" i="59"/>
  <c r="G1285" i="59"/>
  <c r="H1285" i="59" s="1"/>
  <c r="F1285" i="59"/>
  <c r="E1285" i="59"/>
  <c r="E1278" i="59" s="1"/>
  <c r="E1277" i="59" s="1"/>
  <c r="E1276" i="59" s="1"/>
  <c r="H1283" i="59"/>
  <c r="H1282" i="59"/>
  <c r="H1281" i="59"/>
  <c r="H1280" i="59"/>
  <c r="G1279" i="59"/>
  <c r="H1279" i="59" s="1"/>
  <c r="F1279" i="59"/>
  <c r="E1279" i="59"/>
  <c r="G1278" i="59"/>
  <c r="F1278" i="59"/>
  <c r="H1275" i="59"/>
  <c r="H1274" i="59"/>
  <c r="G1273" i="59"/>
  <c r="H1273" i="59" s="1"/>
  <c r="F1273" i="59"/>
  <c r="E1273" i="59"/>
  <c r="G1272" i="59"/>
  <c r="F1272" i="59"/>
  <c r="E1272" i="59"/>
  <c r="E1271" i="59" s="1"/>
  <c r="E1270" i="59" s="1"/>
  <c r="F1271" i="59"/>
  <c r="F1270" i="59"/>
  <c r="H1269" i="59"/>
  <c r="H1268" i="59"/>
  <c r="H1267" i="59"/>
  <c r="H1266" i="59"/>
  <c r="H1265" i="59"/>
  <c r="H1264" i="59"/>
  <c r="G1263" i="59"/>
  <c r="F1263" i="59"/>
  <c r="E1263" i="59"/>
  <c r="E1257" i="59" s="1"/>
  <c r="E1256" i="59" s="1"/>
  <c r="E1255" i="59" s="1"/>
  <c r="H1261" i="59"/>
  <c r="H1260" i="59"/>
  <c r="H1259" i="59"/>
  <c r="G1258" i="59"/>
  <c r="F1258" i="59"/>
  <c r="H1258" i="59" s="1"/>
  <c r="E1258" i="59"/>
  <c r="F1257" i="59"/>
  <c r="F1256" i="59"/>
  <c r="F1255" i="59" s="1"/>
  <c r="H1254" i="59"/>
  <c r="H1253" i="59"/>
  <c r="H1252" i="59"/>
  <c r="H1251" i="59"/>
  <c r="H1250" i="59"/>
  <c r="G1250" i="59"/>
  <c r="F1250" i="59"/>
  <c r="E1250" i="59"/>
  <c r="H1248" i="59"/>
  <c r="H1247" i="59"/>
  <c r="H1246" i="59"/>
  <c r="H1245" i="59"/>
  <c r="H1244" i="59"/>
  <c r="G1243" i="59"/>
  <c r="F1243" i="59"/>
  <c r="E1243" i="59"/>
  <c r="E1242" i="59" s="1"/>
  <c r="F1242" i="59"/>
  <c r="H1240" i="59"/>
  <c r="H1239" i="59"/>
  <c r="H1238" i="59"/>
  <c r="H1237" i="59"/>
  <c r="G1236" i="59"/>
  <c r="H1236" i="59" s="1"/>
  <c r="F1236" i="59"/>
  <c r="E1236" i="59"/>
  <c r="E1205" i="59" s="1"/>
  <c r="E1204" i="59" s="1"/>
  <c r="H1234" i="59"/>
  <c r="G1233" i="59"/>
  <c r="F1233" i="59"/>
  <c r="H1233" i="59" s="1"/>
  <c r="E1233" i="59"/>
  <c r="H1231" i="59"/>
  <c r="H1229" i="59"/>
  <c r="H1228" i="59"/>
  <c r="H1227" i="59"/>
  <c r="H1226" i="59"/>
  <c r="H1225" i="59"/>
  <c r="H1224" i="59"/>
  <c r="H1223" i="59"/>
  <c r="H1222" i="59"/>
  <c r="H1221" i="59"/>
  <c r="H1220" i="59"/>
  <c r="H1219" i="59"/>
  <c r="H1218" i="59"/>
  <c r="H1217" i="59"/>
  <c r="H1216" i="59"/>
  <c r="H1215" i="59"/>
  <c r="G1214" i="59"/>
  <c r="F1214" i="59"/>
  <c r="E1214" i="59"/>
  <c r="H1212" i="59"/>
  <c r="H1211" i="59"/>
  <c r="H1210" i="59"/>
  <c r="H1209" i="59"/>
  <c r="H1208" i="59"/>
  <c r="G1207" i="59"/>
  <c r="H1207" i="59" s="1"/>
  <c r="F1207" i="59"/>
  <c r="E1207" i="59"/>
  <c r="G1206" i="59"/>
  <c r="E1206" i="59"/>
  <c r="G1205" i="59"/>
  <c r="H1203" i="59"/>
  <c r="H1202" i="59"/>
  <c r="H1201" i="59"/>
  <c r="G1200" i="59"/>
  <c r="F1200" i="59"/>
  <c r="E1200" i="59"/>
  <c r="H1198" i="59"/>
  <c r="H1197" i="59"/>
  <c r="H1196" i="59"/>
  <c r="G1195" i="59"/>
  <c r="H1195" i="59" s="1"/>
  <c r="F1195" i="59"/>
  <c r="E1195" i="59"/>
  <c r="G1194" i="59"/>
  <c r="H1194" i="59" s="1"/>
  <c r="F1194" i="59"/>
  <c r="E1194" i="59"/>
  <c r="H1192" i="59"/>
  <c r="H1191" i="59"/>
  <c r="H1190" i="59"/>
  <c r="H1189" i="59"/>
  <c r="H1188" i="59"/>
  <c r="H1187" i="59"/>
  <c r="H1186" i="59"/>
  <c r="H1185" i="59"/>
  <c r="H1184" i="59"/>
  <c r="H1183" i="59"/>
  <c r="H1182" i="59"/>
  <c r="H1181" i="59"/>
  <c r="H1180" i="59"/>
  <c r="H1179" i="59"/>
  <c r="H1178" i="59"/>
  <c r="H1177" i="59"/>
  <c r="H1176" i="59"/>
  <c r="H1175" i="59"/>
  <c r="H1174" i="59"/>
  <c r="H1173" i="59"/>
  <c r="H1172" i="59"/>
  <c r="H1171" i="59"/>
  <c r="H1170" i="59"/>
  <c r="H1169" i="59"/>
  <c r="H1168" i="59"/>
  <c r="H1167" i="59"/>
  <c r="H1166" i="59"/>
  <c r="H1165" i="59"/>
  <c r="H1164" i="59"/>
  <c r="H1163" i="59"/>
  <c r="H1162" i="59"/>
  <c r="H1161" i="59"/>
  <c r="G1160" i="59"/>
  <c r="H1160" i="59" s="1"/>
  <c r="F1160" i="59"/>
  <c r="E1160" i="59"/>
  <c r="H1158" i="59"/>
  <c r="G1157" i="59"/>
  <c r="F1157" i="59"/>
  <c r="H1157" i="59" s="1"/>
  <c r="E1157" i="59"/>
  <c r="H1155" i="59"/>
  <c r="H1154" i="59"/>
  <c r="H1153" i="59"/>
  <c r="H1152" i="59"/>
  <c r="H1151" i="59"/>
  <c r="H1150" i="59"/>
  <c r="H1149" i="59"/>
  <c r="H1148" i="59"/>
  <c r="H1147" i="59"/>
  <c r="H1146" i="59"/>
  <c r="H1145" i="59"/>
  <c r="G1145" i="59"/>
  <c r="F1145" i="59"/>
  <c r="F1137" i="59" s="1"/>
  <c r="F1136" i="59" s="1"/>
  <c r="F1135" i="59" s="1"/>
  <c r="E1145" i="59"/>
  <c r="H1143" i="59"/>
  <c r="H1142" i="59"/>
  <c r="H1141" i="59"/>
  <c r="H1140" i="59"/>
  <c r="H1139" i="59"/>
  <c r="G1138" i="59"/>
  <c r="H1138" i="59" s="1"/>
  <c r="F1138" i="59"/>
  <c r="E1138" i="59"/>
  <c r="E1137" i="59" s="1"/>
  <c r="E1136" i="59" s="1"/>
  <c r="E1135" i="59" s="1"/>
  <c r="G1137" i="59"/>
  <c r="G1136" i="59"/>
  <c r="G1135" i="59"/>
  <c r="H1134" i="59"/>
  <c r="G1133" i="59"/>
  <c r="F1133" i="59"/>
  <c r="H1133" i="59" s="1"/>
  <c r="E1133" i="59"/>
  <c r="G1132" i="59"/>
  <c r="E1132" i="59"/>
  <c r="H1130" i="59"/>
  <c r="H1129" i="59"/>
  <c r="H1128" i="59"/>
  <c r="H1127" i="59"/>
  <c r="H1126" i="59"/>
  <c r="H1125" i="59"/>
  <c r="H1122" i="59"/>
  <c r="H1121" i="59"/>
  <c r="H1120" i="59"/>
  <c r="H1119" i="59"/>
  <c r="H1118" i="59"/>
  <c r="H1117" i="59"/>
  <c r="H1116" i="59"/>
  <c r="H1115" i="59"/>
  <c r="H1114" i="59"/>
  <c r="G1114" i="59"/>
  <c r="F1114" i="59"/>
  <c r="E1114" i="59"/>
  <c r="H1112" i="59"/>
  <c r="H1111" i="59"/>
  <c r="G1110" i="59"/>
  <c r="F1110" i="59"/>
  <c r="H1110" i="59" s="1"/>
  <c r="E1110" i="59"/>
  <c r="H1108" i="59"/>
  <c r="H1107" i="59"/>
  <c r="H1106" i="59"/>
  <c r="H1105" i="59"/>
  <c r="H1104" i="59"/>
  <c r="H1103" i="59"/>
  <c r="H1102" i="59"/>
  <c r="H1101" i="59"/>
  <c r="H1099" i="59"/>
  <c r="H1098" i="59"/>
  <c r="H1097" i="59"/>
  <c r="H1096" i="59"/>
  <c r="H1095" i="59"/>
  <c r="H1094" i="59"/>
  <c r="H1093" i="59"/>
  <c r="G1092" i="59"/>
  <c r="H1092" i="59" s="1"/>
  <c r="F1092" i="59"/>
  <c r="E1092" i="59"/>
  <c r="E1084" i="59" s="1"/>
  <c r="E1083" i="59" s="1"/>
  <c r="E1082" i="59" s="1"/>
  <c r="H1090" i="59"/>
  <c r="H1089" i="59"/>
  <c r="H1088" i="59"/>
  <c r="H1087" i="59"/>
  <c r="H1086" i="59"/>
  <c r="G1085" i="59"/>
  <c r="F1085" i="59"/>
  <c r="H1085" i="59" s="1"/>
  <c r="E1085" i="59"/>
  <c r="F1084" i="59"/>
  <c r="F1083" i="59" s="1"/>
  <c r="G1080" i="59"/>
  <c r="F1080" i="59"/>
  <c r="E1080" i="59"/>
  <c r="H1078" i="59"/>
  <c r="H1077" i="59"/>
  <c r="H1076" i="59"/>
  <c r="H1075" i="59"/>
  <c r="G1074" i="59"/>
  <c r="H1074" i="59" s="1"/>
  <c r="F1074" i="59"/>
  <c r="E1074" i="59"/>
  <c r="E1067" i="59" s="1"/>
  <c r="E1066" i="59" s="1"/>
  <c r="E1065" i="59" s="1"/>
  <c r="H1072" i="59"/>
  <c r="H1071" i="59"/>
  <c r="H1070" i="59"/>
  <c r="H1069" i="59"/>
  <c r="G1068" i="59"/>
  <c r="H1068" i="59" s="1"/>
  <c r="F1068" i="59"/>
  <c r="E1068" i="59"/>
  <c r="G1067" i="59"/>
  <c r="H1067" i="59" s="1"/>
  <c r="F1067" i="59"/>
  <c r="G1066" i="59"/>
  <c r="H1066" i="59" s="1"/>
  <c r="F1066" i="59"/>
  <c r="G1065" i="59"/>
  <c r="H1065" i="59" s="1"/>
  <c r="F1065" i="59"/>
  <c r="H1064" i="59"/>
  <c r="G1063" i="59"/>
  <c r="F1063" i="59"/>
  <c r="H1063" i="59" s="1"/>
  <c r="E1063" i="59"/>
  <c r="G1062" i="59"/>
  <c r="F1062" i="59"/>
  <c r="H1062" i="59" s="1"/>
  <c r="E1062" i="59"/>
  <c r="G1061" i="59"/>
  <c r="E1061" i="59"/>
  <c r="G1060" i="59"/>
  <c r="E1060" i="59"/>
  <c r="H1059" i="59"/>
  <c r="G1058" i="59"/>
  <c r="H1058" i="59" s="1"/>
  <c r="F1058" i="59"/>
  <c r="E1058" i="59"/>
  <c r="H1056" i="59"/>
  <c r="H1055" i="59"/>
  <c r="H1054" i="59"/>
  <c r="H1053" i="59"/>
  <c r="G1052" i="59"/>
  <c r="H1052" i="59" s="1"/>
  <c r="F1052" i="59"/>
  <c r="E1052" i="59"/>
  <c r="H1050" i="59"/>
  <c r="H1049" i="59"/>
  <c r="H1048" i="59"/>
  <c r="H1047" i="59"/>
  <c r="G1046" i="59"/>
  <c r="H1046" i="59" s="1"/>
  <c r="F1046" i="59"/>
  <c r="E1046" i="59"/>
  <c r="G1045" i="59"/>
  <c r="H1045" i="59" s="1"/>
  <c r="F1045" i="59"/>
  <c r="E1045" i="59"/>
  <c r="F1044" i="59"/>
  <c r="E1044" i="59"/>
  <c r="F1043" i="59"/>
  <c r="E1043" i="59"/>
  <c r="G1041" i="59"/>
  <c r="F1041" i="59"/>
  <c r="F1040" i="59" s="1"/>
  <c r="E1041" i="59"/>
  <c r="G1040" i="59"/>
  <c r="E1040" i="59"/>
  <c r="H1038" i="59"/>
  <c r="G1037" i="59"/>
  <c r="F1037" i="59"/>
  <c r="E1037" i="59"/>
  <c r="H1035" i="59"/>
  <c r="H1034" i="59"/>
  <c r="H1033" i="59"/>
  <c r="H1032" i="59"/>
  <c r="H1031" i="59"/>
  <c r="H1030" i="59"/>
  <c r="H1029" i="59"/>
  <c r="H1028" i="59"/>
  <c r="H1027" i="59"/>
  <c r="H1026" i="59"/>
  <c r="H1025" i="59"/>
  <c r="H1024" i="59"/>
  <c r="H1023" i="59"/>
  <c r="G1022" i="59"/>
  <c r="F1022" i="59"/>
  <c r="E1022" i="59"/>
  <c r="E1014" i="59" s="1"/>
  <c r="E1013" i="59" s="1"/>
  <c r="E1012" i="59" s="1"/>
  <c r="H1020" i="59"/>
  <c r="H1019" i="59"/>
  <c r="H1018" i="59"/>
  <c r="H1017" i="59"/>
  <c r="H1016" i="59"/>
  <c r="H1015" i="59"/>
  <c r="G1015" i="59"/>
  <c r="F1015" i="59"/>
  <c r="E1015" i="59"/>
  <c r="F1014" i="59"/>
  <c r="H1011" i="59"/>
  <c r="G1010" i="59"/>
  <c r="H1010" i="59" s="1"/>
  <c r="F1010" i="59"/>
  <c r="E1010" i="59"/>
  <c r="E1009" i="59" s="1"/>
  <c r="E1008" i="59" s="1"/>
  <c r="G1009" i="59"/>
  <c r="H1009" i="59" s="1"/>
  <c r="F1009" i="59"/>
  <c r="G1008" i="59"/>
  <c r="H1008" i="59" s="1"/>
  <c r="F1008" i="59"/>
  <c r="H1006" i="59"/>
  <c r="E1006" i="59"/>
  <c r="G1005" i="59"/>
  <c r="H1005" i="59" s="1"/>
  <c r="F1005" i="59"/>
  <c r="E1005" i="59"/>
  <c r="F1004" i="59"/>
  <c r="E1004" i="59"/>
  <c r="E998" i="59" s="1"/>
  <c r="H1002" i="59"/>
  <c r="H1001" i="59"/>
  <c r="G1001" i="59"/>
  <c r="F1001" i="59"/>
  <c r="E1001" i="59"/>
  <c r="H1000" i="59"/>
  <c r="G1000" i="59"/>
  <c r="F1000" i="59"/>
  <c r="E1000" i="59"/>
  <c r="H999" i="59"/>
  <c r="G999" i="59"/>
  <c r="F999" i="59"/>
  <c r="E999" i="59"/>
  <c r="F998" i="59"/>
  <c r="F993" i="59" s="1"/>
  <c r="H997" i="59"/>
  <c r="G996" i="59"/>
  <c r="H996" i="59" s="1"/>
  <c r="F996" i="59"/>
  <c r="E996" i="59"/>
  <c r="E995" i="59" s="1"/>
  <c r="E994" i="59" s="1"/>
  <c r="E993" i="59" s="1"/>
  <c r="G995" i="59"/>
  <c r="H995" i="59" s="1"/>
  <c r="F995" i="59"/>
  <c r="G994" i="59"/>
  <c r="H994" i="59" s="1"/>
  <c r="F994" i="59"/>
  <c r="E992" i="59"/>
  <c r="E2072" i="59" s="1"/>
  <c r="G991" i="59"/>
  <c r="G990" i="59" s="1"/>
  <c r="F991" i="59"/>
  <c r="E991" i="59"/>
  <c r="E990" i="59" s="1"/>
  <c r="E989" i="59" s="1"/>
  <c r="E984" i="59" s="1"/>
  <c r="F990" i="59"/>
  <c r="F989" i="59" s="1"/>
  <c r="F984" i="59" s="1"/>
  <c r="G989" i="59"/>
  <c r="G984" i="59" s="1"/>
  <c r="H984" i="59" s="1"/>
  <c r="H988" i="59"/>
  <c r="H987" i="59"/>
  <c r="G987" i="59"/>
  <c r="F987" i="59"/>
  <c r="E987" i="59"/>
  <c r="H986" i="59"/>
  <c r="G986" i="59"/>
  <c r="F986" i="59"/>
  <c r="E986" i="59"/>
  <c r="H985" i="59"/>
  <c r="G985" i="59"/>
  <c r="F985" i="59"/>
  <c r="E985" i="59"/>
  <c r="H983" i="59"/>
  <c r="G982" i="59"/>
  <c r="H982" i="59" s="1"/>
  <c r="F982" i="59"/>
  <c r="E982" i="59"/>
  <c r="G981" i="59"/>
  <c r="H981" i="59" s="1"/>
  <c r="F981" i="59"/>
  <c r="E981" i="59"/>
  <c r="E980" i="59" s="1"/>
  <c r="G980" i="59"/>
  <c r="H980" i="59" s="1"/>
  <c r="F980" i="59"/>
  <c r="H979" i="59"/>
  <c r="G978" i="59"/>
  <c r="F978" i="59"/>
  <c r="H978" i="59" s="1"/>
  <c r="E978" i="59"/>
  <c r="G977" i="59"/>
  <c r="E977" i="59"/>
  <c r="H975" i="59"/>
  <c r="G974" i="59"/>
  <c r="H974" i="59" s="1"/>
  <c r="F974" i="59"/>
  <c r="E974" i="59"/>
  <c r="F973" i="59"/>
  <c r="E973" i="59"/>
  <c r="E972" i="59"/>
  <c r="H971" i="59"/>
  <c r="H970" i="59"/>
  <c r="G970" i="59"/>
  <c r="F970" i="59"/>
  <c r="E970" i="59"/>
  <c r="H969" i="59"/>
  <c r="G969" i="59"/>
  <c r="F969" i="59"/>
  <c r="E969" i="59"/>
  <c r="H968" i="59"/>
  <c r="G968" i="59"/>
  <c r="F968" i="59"/>
  <c r="E968" i="59"/>
  <c r="H967" i="59"/>
  <c r="G966" i="59"/>
  <c r="H966" i="59" s="1"/>
  <c r="F966" i="59"/>
  <c r="E966" i="59"/>
  <c r="E965" i="59" s="1"/>
  <c r="E960" i="59" s="1"/>
  <c r="E955" i="59" s="1"/>
  <c r="G965" i="59"/>
  <c r="H965" i="59" s="1"/>
  <c r="F965" i="59"/>
  <c r="H964" i="59"/>
  <c r="H963" i="59"/>
  <c r="H962" i="59"/>
  <c r="H961" i="59"/>
  <c r="G960" i="59"/>
  <c r="H960" i="59" s="1"/>
  <c r="F960" i="59"/>
  <c r="H959" i="59"/>
  <c r="G958" i="59"/>
  <c r="F958" i="59"/>
  <c r="H958" i="59" s="1"/>
  <c r="E958" i="59"/>
  <c r="G957" i="59"/>
  <c r="F957" i="59"/>
  <c r="H957" i="59" s="1"/>
  <c r="E957" i="59"/>
  <c r="G956" i="59"/>
  <c r="E956" i="59"/>
  <c r="H954" i="59"/>
  <c r="G953" i="59"/>
  <c r="F953" i="59"/>
  <c r="E953" i="59"/>
  <c r="H951" i="59"/>
  <c r="H950" i="59"/>
  <c r="H949" i="59"/>
  <c r="G948" i="59"/>
  <c r="F948" i="59"/>
  <c r="E948" i="59"/>
  <c r="H946" i="59"/>
  <c r="H945" i="59"/>
  <c r="H944" i="59"/>
  <c r="G943" i="59"/>
  <c r="H943" i="59" s="1"/>
  <c r="F943" i="59"/>
  <c r="E943" i="59"/>
  <c r="G942" i="59"/>
  <c r="E942" i="59"/>
  <c r="E941" i="59"/>
  <c r="E940" i="59" s="1"/>
  <c r="E939" i="59" s="1"/>
  <c r="H938" i="59"/>
  <c r="H937" i="59"/>
  <c r="G936" i="59"/>
  <c r="H936" i="59" s="1"/>
  <c r="F936" i="59"/>
  <c r="E936" i="59"/>
  <c r="H934" i="59"/>
  <c r="H933" i="59"/>
  <c r="G933" i="59"/>
  <c r="F933" i="59"/>
  <c r="E933" i="59"/>
  <c r="H931" i="59"/>
  <c r="H929" i="59"/>
  <c r="H928" i="59"/>
  <c r="G927" i="59"/>
  <c r="H927" i="59" s="1"/>
  <c r="F927" i="59"/>
  <c r="E927" i="59"/>
  <c r="E926" i="59"/>
  <c r="H924" i="59"/>
  <c r="H923" i="59"/>
  <c r="E923" i="59"/>
  <c r="H922" i="59"/>
  <c r="H921" i="59"/>
  <c r="H920" i="59"/>
  <c r="H919" i="59"/>
  <c r="H918" i="59"/>
  <c r="E918" i="59"/>
  <c r="H917" i="59"/>
  <c r="E917" i="59"/>
  <c r="H916" i="59"/>
  <c r="E916" i="59"/>
  <c r="H915" i="59"/>
  <c r="H914" i="59"/>
  <c r="E914" i="59"/>
  <c r="H913" i="59"/>
  <c r="E913" i="59"/>
  <c r="H912" i="59"/>
  <c r="E912" i="59"/>
  <c r="H911" i="59"/>
  <c r="H910" i="59"/>
  <c r="E910" i="59"/>
  <c r="H909" i="59"/>
  <c r="E909" i="59"/>
  <c r="H908" i="59"/>
  <c r="E908" i="59"/>
  <c r="H907" i="59"/>
  <c r="H906" i="59"/>
  <c r="E906" i="59"/>
  <c r="H905" i="59"/>
  <c r="H904" i="59"/>
  <c r="H903" i="59"/>
  <c r="H902" i="59"/>
  <c r="H901" i="59"/>
  <c r="E901" i="59"/>
  <c r="H900" i="59"/>
  <c r="E900" i="59"/>
  <c r="H898" i="59"/>
  <c r="E898" i="59"/>
  <c r="H897" i="59"/>
  <c r="E897" i="59"/>
  <c r="H896" i="59"/>
  <c r="E896" i="59"/>
  <c r="H895" i="59"/>
  <c r="E895" i="59"/>
  <c r="E886" i="59" s="1"/>
  <c r="H894" i="59"/>
  <c r="H893" i="59"/>
  <c r="E893" i="59"/>
  <c r="H892" i="59"/>
  <c r="E892" i="59"/>
  <c r="H891" i="59"/>
  <c r="E891" i="59"/>
  <c r="H890" i="59"/>
  <c r="H889" i="59"/>
  <c r="H888" i="59"/>
  <c r="H887" i="59"/>
  <c r="H886" i="59"/>
  <c r="G886" i="59"/>
  <c r="F886" i="59"/>
  <c r="F862" i="59" s="1"/>
  <c r="H884" i="59"/>
  <c r="G883" i="59"/>
  <c r="H883" i="59" s="1"/>
  <c r="F883" i="59"/>
  <c r="E883" i="59"/>
  <c r="H881" i="59"/>
  <c r="H880" i="59"/>
  <c r="H879" i="59"/>
  <c r="H878" i="59"/>
  <c r="H877" i="59"/>
  <c r="E877" i="59"/>
  <c r="H876" i="59"/>
  <c r="H875" i="59"/>
  <c r="E875" i="59"/>
  <c r="H874" i="59"/>
  <c r="H873" i="59"/>
  <c r="E873" i="59"/>
  <c r="H872" i="59"/>
  <c r="E872" i="59"/>
  <c r="H871" i="59"/>
  <c r="E871" i="59"/>
  <c r="H870" i="59"/>
  <c r="E870" i="59"/>
  <c r="H869" i="59"/>
  <c r="E869" i="59"/>
  <c r="E868" i="59" s="1"/>
  <c r="E863" i="59" s="1"/>
  <c r="E862" i="59" s="1"/>
  <c r="E861" i="59" s="1"/>
  <c r="G868" i="59"/>
  <c r="H868" i="59" s="1"/>
  <c r="F868" i="59"/>
  <c r="H866" i="59"/>
  <c r="H865" i="59"/>
  <c r="G864" i="59"/>
  <c r="H864" i="59" s="1"/>
  <c r="F864" i="59"/>
  <c r="E864" i="59"/>
  <c r="F863" i="59"/>
  <c r="H860" i="59"/>
  <c r="H859" i="59"/>
  <c r="G859" i="59"/>
  <c r="F859" i="59"/>
  <c r="E859" i="59"/>
  <c r="H857" i="59"/>
  <c r="H855" i="59"/>
  <c r="H854" i="59"/>
  <c r="G853" i="59"/>
  <c r="F853" i="59"/>
  <c r="E853" i="59"/>
  <c r="E846" i="59" s="1"/>
  <c r="E845" i="59" s="1"/>
  <c r="E844" i="59" s="1"/>
  <c r="H850" i="59"/>
  <c r="H849" i="59"/>
  <c r="H848" i="59"/>
  <c r="G847" i="59"/>
  <c r="F847" i="59"/>
  <c r="H847" i="59" s="1"/>
  <c r="E847" i="59"/>
  <c r="F846" i="59"/>
  <c r="F845" i="59" s="1"/>
  <c r="F844" i="59" s="1"/>
  <c r="H843" i="59"/>
  <c r="G842" i="59"/>
  <c r="H842" i="59" s="1"/>
  <c r="F842" i="59"/>
  <c r="E842" i="59"/>
  <c r="F841" i="59"/>
  <c r="E841" i="59"/>
  <c r="H839" i="59"/>
  <c r="H838" i="59"/>
  <c r="H837" i="59"/>
  <c r="H836" i="59"/>
  <c r="H835" i="59"/>
  <c r="H834" i="59"/>
  <c r="G834" i="59"/>
  <c r="F834" i="59"/>
  <c r="F830" i="59" s="1"/>
  <c r="F829" i="59" s="1"/>
  <c r="F828" i="59" s="1"/>
  <c r="E834" i="59"/>
  <c r="H832" i="59"/>
  <c r="G831" i="59"/>
  <c r="H831" i="59" s="1"/>
  <c r="F831" i="59"/>
  <c r="E831" i="59"/>
  <c r="G830" i="59"/>
  <c r="H830" i="59" s="1"/>
  <c r="E830" i="59"/>
  <c r="E829" i="59" s="1"/>
  <c r="E828" i="59" s="1"/>
  <c r="G829" i="59"/>
  <c r="H829" i="59" s="1"/>
  <c r="H827" i="59"/>
  <c r="H826" i="59"/>
  <c r="H825" i="59"/>
  <c r="H824" i="59"/>
  <c r="G823" i="59"/>
  <c r="H823" i="59" s="1"/>
  <c r="F823" i="59"/>
  <c r="E823" i="59"/>
  <c r="H821" i="59"/>
  <c r="H820" i="59"/>
  <c r="H819" i="59"/>
  <c r="H818" i="59"/>
  <c r="H817" i="59"/>
  <c r="G816" i="59"/>
  <c r="F816" i="59"/>
  <c r="H816" i="59" s="1"/>
  <c r="E816" i="59"/>
  <c r="G815" i="59"/>
  <c r="F815" i="59"/>
  <c r="H815" i="59" s="1"/>
  <c r="E815" i="59"/>
  <c r="H813" i="59"/>
  <c r="H812" i="59"/>
  <c r="H811" i="59"/>
  <c r="H810" i="59"/>
  <c r="H809" i="59"/>
  <c r="H806" i="59"/>
  <c r="H805" i="59"/>
  <c r="H804" i="59"/>
  <c r="H803" i="59"/>
  <c r="H802" i="59"/>
  <c r="H801" i="59"/>
  <c r="H800" i="59"/>
  <c r="H799" i="59"/>
  <c r="H798" i="59"/>
  <c r="H797" i="59"/>
  <c r="H796" i="59"/>
  <c r="H795" i="59"/>
  <c r="H794" i="59"/>
  <c r="H793" i="59"/>
  <c r="H792" i="59"/>
  <c r="H791" i="59"/>
  <c r="H790" i="59"/>
  <c r="H789" i="59"/>
  <c r="H788" i="59"/>
  <c r="H787" i="59"/>
  <c r="H786" i="59"/>
  <c r="H785" i="59"/>
  <c r="H784" i="59"/>
  <c r="G783" i="59"/>
  <c r="F783" i="59"/>
  <c r="H783" i="59" s="1"/>
  <c r="E783" i="59"/>
  <c r="H781" i="59"/>
  <c r="H780" i="59"/>
  <c r="H779" i="59"/>
  <c r="G779" i="59"/>
  <c r="F779" i="59"/>
  <c r="E779" i="59"/>
  <c r="H777" i="59"/>
  <c r="H776" i="59"/>
  <c r="H775" i="59"/>
  <c r="H774" i="59"/>
  <c r="E774" i="59"/>
  <c r="H773" i="59"/>
  <c r="E773" i="59"/>
  <c r="H772" i="59"/>
  <c r="E772" i="59"/>
  <c r="E770" i="59" s="1"/>
  <c r="H771" i="59"/>
  <c r="E771" i="59"/>
  <c r="G770" i="59"/>
  <c r="F770" i="59"/>
  <c r="H768" i="59"/>
  <c r="E768" i="59"/>
  <c r="G767" i="59"/>
  <c r="H767" i="59" s="1"/>
  <c r="F767" i="59"/>
  <c r="E767" i="59"/>
  <c r="E766" i="59" s="1"/>
  <c r="E765" i="59" s="1"/>
  <c r="E764" i="59" s="1"/>
  <c r="F766" i="59"/>
  <c r="H763" i="59"/>
  <c r="H762" i="59"/>
  <c r="G761" i="59"/>
  <c r="F761" i="59"/>
  <c r="E761" i="59"/>
  <c r="E755" i="59" s="1"/>
  <c r="E754" i="59" s="1"/>
  <c r="E753" i="59" s="1"/>
  <c r="H759" i="59"/>
  <c r="H758" i="59"/>
  <c r="H757" i="59"/>
  <c r="G756" i="59"/>
  <c r="F756" i="59"/>
  <c r="H756" i="59" s="1"/>
  <c r="E756" i="59"/>
  <c r="F755" i="59"/>
  <c r="F754" i="59" s="1"/>
  <c r="F753" i="59" s="1"/>
  <c r="H752" i="59"/>
  <c r="H751" i="59"/>
  <c r="H750" i="59"/>
  <c r="H749" i="59"/>
  <c r="G748" i="59"/>
  <c r="F748" i="59"/>
  <c r="H748" i="59" s="1"/>
  <c r="E748" i="59"/>
  <c r="H746" i="59"/>
  <c r="H745" i="59"/>
  <c r="H744" i="59"/>
  <c r="H743" i="59"/>
  <c r="H742" i="59"/>
  <c r="H741" i="59"/>
  <c r="H740" i="59"/>
  <c r="G740" i="59"/>
  <c r="F740" i="59"/>
  <c r="E740" i="59"/>
  <c r="H739" i="59"/>
  <c r="G739" i="59"/>
  <c r="F739" i="59"/>
  <c r="E739" i="59"/>
  <c r="H737" i="59"/>
  <c r="H736" i="59"/>
  <c r="H735" i="59"/>
  <c r="E735" i="59"/>
  <c r="H734" i="59"/>
  <c r="E734" i="59"/>
  <c r="H733" i="59"/>
  <c r="H732" i="59"/>
  <c r="H731" i="59"/>
  <c r="H730" i="59"/>
  <c r="H729" i="59"/>
  <c r="E729" i="59"/>
  <c r="H728" i="59"/>
  <c r="E728" i="59"/>
  <c r="H727" i="59"/>
  <c r="H726" i="59"/>
  <c r="H725" i="59"/>
  <c r="E725" i="59"/>
  <c r="H724" i="59"/>
  <c r="E724" i="59"/>
  <c r="H723" i="59"/>
  <c r="E723" i="59"/>
  <c r="H722" i="59"/>
  <c r="E722" i="59"/>
  <c r="H721" i="59"/>
  <c r="H720" i="59"/>
  <c r="E720" i="59"/>
  <c r="H719" i="59"/>
  <c r="E719" i="59"/>
  <c r="H718" i="59"/>
  <c r="H717" i="59"/>
  <c r="H716" i="59"/>
  <c r="H715" i="59"/>
  <c r="H714" i="59"/>
  <c r="E714" i="59"/>
  <c r="H713" i="59"/>
  <c r="E713" i="59"/>
  <c r="H712" i="59"/>
  <c r="E712" i="59"/>
  <c r="H711" i="59"/>
  <c r="E711" i="59"/>
  <c r="E698" i="59" s="1"/>
  <c r="H710" i="59"/>
  <c r="H709" i="59"/>
  <c r="H708" i="59"/>
  <c r="H707" i="59"/>
  <c r="H706" i="59"/>
  <c r="H705" i="59"/>
  <c r="H704" i="59"/>
  <c r="H703" i="59"/>
  <c r="H702" i="59"/>
  <c r="H701" i="59"/>
  <c r="H700" i="59"/>
  <c r="H699" i="59"/>
  <c r="G698" i="59"/>
  <c r="H698" i="59" s="1"/>
  <c r="F698" i="59"/>
  <c r="H696" i="59"/>
  <c r="G695" i="59"/>
  <c r="F695" i="59"/>
  <c r="E695" i="59"/>
  <c r="H693" i="59"/>
  <c r="H692" i="59"/>
  <c r="H691" i="59"/>
  <c r="H690" i="59"/>
  <c r="H689" i="59"/>
  <c r="H688" i="59"/>
  <c r="H687" i="59"/>
  <c r="H686" i="59"/>
  <c r="H685" i="59"/>
  <c r="H684" i="59"/>
  <c r="H683" i="59"/>
  <c r="H682" i="59"/>
  <c r="H681" i="59"/>
  <c r="H680" i="59"/>
  <c r="H679" i="59"/>
  <c r="E679" i="59"/>
  <c r="H678" i="59"/>
  <c r="H677" i="59"/>
  <c r="H676" i="59"/>
  <c r="H675" i="59"/>
  <c r="H674" i="59"/>
  <c r="E674" i="59"/>
  <c r="H673" i="59"/>
  <c r="G672" i="59"/>
  <c r="H672" i="59" s="1"/>
  <c r="F672" i="59"/>
  <c r="E672" i="59"/>
  <c r="H670" i="59"/>
  <c r="H669" i="59"/>
  <c r="G669" i="59"/>
  <c r="H668" i="59"/>
  <c r="G668" i="59"/>
  <c r="H667" i="59"/>
  <c r="G666" i="59"/>
  <c r="F665" i="59"/>
  <c r="E665" i="59"/>
  <c r="F664" i="59"/>
  <c r="E664" i="59"/>
  <c r="E663" i="59" s="1"/>
  <c r="E662" i="59" s="1"/>
  <c r="G660" i="59"/>
  <c r="F660" i="59"/>
  <c r="F659" i="59" s="1"/>
  <c r="F643" i="59" s="1"/>
  <c r="E660" i="59"/>
  <c r="G659" i="59"/>
  <c r="E659" i="59"/>
  <c r="H657" i="59"/>
  <c r="H656" i="59"/>
  <c r="G656" i="59"/>
  <c r="F656" i="59"/>
  <c r="E656" i="59"/>
  <c r="H654" i="59"/>
  <c r="H653" i="59"/>
  <c r="H652" i="59"/>
  <c r="H651" i="59"/>
  <c r="H650" i="59"/>
  <c r="G649" i="59"/>
  <c r="H649" i="59" s="1"/>
  <c r="F649" i="59"/>
  <c r="E649" i="59"/>
  <c r="E645" i="59" s="1"/>
  <c r="E644" i="59" s="1"/>
  <c r="E643" i="59" s="1"/>
  <c r="G646" i="59"/>
  <c r="F646" i="59"/>
  <c r="E646" i="59"/>
  <c r="F645" i="59"/>
  <c r="F644" i="59"/>
  <c r="H642" i="59"/>
  <c r="G641" i="59"/>
  <c r="H641" i="59" s="1"/>
  <c r="F641" i="59"/>
  <c r="E641" i="59"/>
  <c r="E633" i="59" s="1"/>
  <c r="E632" i="59" s="1"/>
  <c r="E631" i="59" s="1"/>
  <c r="H639" i="59"/>
  <c r="H638" i="59"/>
  <c r="H637" i="59"/>
  <c r="H636" i="59"/>
  <c r="H635" i="59"/>
  <c r="G634" i="59"/>
  <c r="F634" i="59"/>
  <c r="H634" i="59" s="1"/>
  <c r="E634" i="59"/>
  <c r="F633" i="59"/>
  <c r="F632" i="59"/>
  <c r="F631" i="59" s="1"/>
  <c r="H629" i="59"/>
  <c r="G628" i="59"/>
  <c r="H628" i="59" s="1"/>
  <c r="F628" i="59"/>
  <c r="E628" i="59"/>
  <c r="H626" i="59"/>
  <c r="G625" i="59"/>
  <c r="F625" i="59"/>
  <c r="H625" i="59" s="1"/>
  <c r="E625" i="59"/>
  <c r="G624" i="59"/>
  <c r="F624" i="59"/>
  <c r="F591" i="59" s="1"/>
  <c r="E624" i="59"/>
  <c r="H622" i="59"/>
  <c r="H621" i="59"/>
  <c r="H620" i="59"/>
  <c r="H619" i="59"/>
  <c r="H618" i="59"/>
  <c r="H617" i="59"/>
  <c r="H616" i="59"/>
  <c r="H615" i="59"/>
  <c r="H614" i="59"/>
  <c r="H613" i="59"/>
  <c r="H612" i="59"/>
  <c r="H611" i="59"/>
  <c r="H610" i="59"/>
  <c r="H609" i="59"/>
  <c r="H608" i="59"/>
  <c r="H607" i="59"/>
  <c r="H606" i="59"/>
  <c r="H605" i="59"/>
  <c r="H604" i="59"/>
  <c r="H603" i="59"/>
  <c r="H602" i="59"/>
  <c r="H601" i="59"/>
  <c r="H600" i="59"/>
  <c r="H599" i="59"/>
  <c r="H598" i="59"/>
  <c r="H597" i="59"/>
  <c r="H596" i="59"/>
  <c r="H595" i="59"/>
  <c r="H594" i="59"/>
  <c r="G593" i="59"/>
  <c r="H593" i="59" s="1"/>
  <c r="F593" i="59"/>
  <c r="E593" i="59"/>
  <c r="G592" i="59"/>
  <c r="H592" i="59" s="1"/>
  <c r="F592" i="59"/>
  <c r="E592" i="59"/>
  <c r="E591" i="59" s="1"/>
  <c r="E586" i="59" s="1"/>
  <c r="H590" i="59"/>
  <c r="H589" i="59"/>
  <c r="G589" i="59"/>
  <c r="F589" i="59"/>
  <c r="E589" i="59"/>
  <c r="H588" i="59"/>
  <c r="G588" i="59"/>
  <c r="F588" i="59"/>
  <c r="E588" i="59"/>
  <c r="H587" i="59"/>
  <c r="G587" i="59"/>
  <c r="F587" i="59"/>
  <c r="F586" i="59" s="1"/>
  <c r="E587" i="59"/>
  <c r="H585" i="59"/>
  <c r="E585" i="59"/>
  <c r="H584" i="59"/>
  <c r="E584" i="59"/>
  <c r="H582" i="59"/>
  <c r="E582" i="59"/>
  <c r="H581" i="59"/>
  <c r="E581" i="59"/>
  <c r="G580" i="59"/>
  <c r="F580" i="59"/>
  <c r="H580" i="59" s="1"/>
  <c r="E580" i="59"/>
  <c r="H577" i="59"/>
  <c r="E577" i="59"/>
  <c r="H576" i="59"/>
  <c r="E576" i="59"/>
  <c r="H574" i="59"/>
  <c r="E574" i="59"/>
  <c r="H573" i="59"/>
  <c r="E573" i="59"/>
  <c r="G572" i="59"/>
  <c r="F572" i="59"/>
  <c r="F571" i="59" s="1"/>
  <c r="E572" i="59"/>
  <c r="G571" i="59"/>
  <c r="E571" i="59"/>
  <c r="H569" i="59"/>
  <c r="H568" i="59"/>
  <c r="H567" i="59"/>
  <c r="H566" i="59"/>
  <c r="H565" i="59"/>
  <c r="H564" i="59"/>
  <c r="H563" i="59"/>
  <c r="H562" i="59"/>
  <c r="H561" i="59"/>
  <c r="H560" i="59"/>
  <c r="H559" i="59"/>
  <c r="G559" i="59"/>
  <c r="F559" i="59"/>
  <c r="E559" i="59"/>
  <c r="H558" i="59"/>
  <c r="G558" i="59"/>
  <c r="F558" i="59"/>
  <c r="E558" i="59"/>
  <c r="H557" i="59"/>
  <c r="G557" i="59"/>
  <c r="F557" i="59"/>
  <c r="E557" i="59"/>
  <c r="G556" i="59"/>
  <c r="E556" i="59"/>
  <c r="G555" i="59"/>
  <c r="E555" i="59"/>
  <c r="G553" i="59"/>
  <c r="G552" i="59" s="1"/>
  <c r="G551" i="59" s="1"/>
  <c r="G550" i="59" s="1"/>
  <c r="F553" i="59"/>
  <c r="E553" i="59"/>
  <c r="E552" i="59" s="1"/>
  <c r="E551" i="59" s="1"/>
  <c r="E550" i="59" s="1"/>
  <c r="F552" i="59"/>
  <c r="F551" i="59" s="1"/>
  <c r="F550" i="59"/>
  <c r="H549" i="59"/>
  <c r="H548" i="59"/>
  <c r="E548" i="59"/>
  <c r="H547" i="59"/>
  <c r="E547" i="59"/>
  <c r="H546" i="59"/>
  <c r="H545" i="59"/>
  <c r="E545" i="59"/>
  <c r="G544" i="59"/>
  <c r="F544" i="59"/>
  <c r="H544" i="59" s="1"/>
  <c r="H542" i="59"/>
  <c r="G541" i="59"/>
  <c r="H541" i="59" s="1"/>
  <c r="F541" i="59"/>
  <c r="E541" i="59"/>
  <c r="H539" i="59"/>
  <c r="H538" i="59"/>
  <c r="H537" i="59"/>
  <c r="H536" i="59"/>
  <c r="H535" i="59"/>
  <c r="H534" i="59"/>
  <c r="H533" i="59"/>
  <c r="H532" i="59"/>
  <c r="H531" i="59"/>
  <c r="H530" i="59"/>
  <c r="H529" i="59"/>
  <c r="H528" i="59"/>
  <c r="G527" i="59"/>
  <c r="F527" i="59"/>
  <c r="E527" i="59"/>
  <c r="E519" i="59" s="1"/>
  <c r="H525" i="59"/>
  <c r="H524" i="59"/>
  <c r="H523" i="59"/>
  <c r="H522" i="59"/>
  <c r="H521" i="59"/>
  <c r="G520" i="59"/>
  <c r="F520" i="59"/>
  <c r="H520" i="59" s="1"/>
  <c r="E520" i="59"/>
  <c r="G515" i="59"/>
  <c r="G514" i="59" s="1"/>
  <c r="F515" i="59"/>
  <c r="E515" i="59"/>
  <c r="E514" i="59" s="1"/>
  <c r="F514" i="59"/>
  <c r="H512" i="59"/>
  <c r="G511" i="59"/>
  <c r="H511" i="59" s="1"/>
  <c r="F511" i="59"/>
  <c r="E511" i="59"/>
  <c r="H509" i="59"/>
  <c r="H508" i="59"/>
  <c r="H507" i="59"/>
  <c r="H506" i="59"/>
  <c r="H505" i="59"/>
  <c r="H504" i="59"/>
  <c r="H503" i="59"/>
  <c r="H502" i="59"/>
  <c r="H501" i="59"/>
  <c r="H500" i="59"/>
  <c r="H499" i="59"/>
  <c r="H498" i="59"/>
  <c r="H497" i="59"/>
  <c r="H496" i="59"/>
  <c r="H495" i="59"/>
  <c r="H494" i="59"/>
  <c r="G492" i="59"/>
  <c r="F492" i="59"/>
  <c r="E492" i="59"/>
  <c r="E484" i="59" s="1"/>
  <c r="E483" i="59" s="1"/>
  <c r="E482" i="59" s="1"/>
  <c r="H490" i="59"/>
  <c r="H489" i="59"/>
  <c r="H488" i="59"/>
  <c r="H487" i="59"/>
  <c r="H486" i="59"/>
  <c r="H485" i="59"/>
  <c r="G485" i="59"/>
  <c r="F485" i="59"/>
  <c r="F484" i="59" s="1"/>
  <c r="F483" i="59" s="1"/>
  <c r="F482" i="59" s="1"/>
  <c r="E485" i="59"/>
  <c r="H480" i="59"/>
  <c r="G479" i="59"/>
  <c r="H479" i="59" s="1"/>
  <c r="F479" i="59"/>
  <c r="E479" i="59"/>
  <c r="G478" i="59"/>
  <c r="H478" i="59" s="1"/>
  <c r="F478" i="59"/>
  <c r="E478" i="59"/>
  <c r="E477" i="59" s="1"/>
  <c r="F477" i="59"/>
  <c r="H476" i="59"/>
  <c r="H475" i="59"/>
  <c r="G474" i="59"/>
  <c r="H474" i="59" s="1"/>
  <c r="F474" i="59"/>
  <c r="E474" i="59"/>
  <c r="E473" i="59" s="1"/>
  <c r="F473" i="59"/>
  <c r="H471" i="59"/>
  <c r="G470" i="59"/>
  <c r="F470" i="59"/>
  <c r="H470" i="59" s="1"/>
  <c r="E470" i="59"/>
  <c r="H468" i="59"/>
  <c r="H467" i="59"/>
  <c r="H466" i="59"/>
  <c r="H465" i="59"/>
  <c r="H464" i="59"/>
  <c r="H463" i="59"/>
  <c r="H462" i="59"/>
  <c r="G461" i="59"/>
  <c r="H461" i="59" s="1"/>
  <c r="F461" i="59"/>
  <c r="E461" i="59"/>
  <c r="E459" i="59" s="1"/>
  <c r="E458" i="59" s="1"/>
  <c r="E457" i="59" s="1"/>
  <c r="E456" i="59" s="1"/>
  <c r="G459" i="59"/>
  <c r="H459" i="59" s="1"/>
  <c r="F459" i="59"/>
  <c r="G458" i="59"/>
  <c r="H458" i="59" s="1"/>
  <c r="F458" i="59"/>
  <c r="F457" i="59"/>
  <c r="F456" i="59"/>
  <c r="H455" i="59"/>
  <c r="G454" i="59"/>
  <c r="F454" i="59"/>
  <c r="F453" i="59" s="1"/>
  <c r="H453" i="59" s="1"/>
  <c r="E454" i="59"/>
  <c r="G453" i="59"/>
  <c r="E453" i="59"/>
  <c r="H451" i="59"/>
  <c r="G450" i="59"/>
  <c r="G434" i="59" s="1"/>
  <c r="F450" i="59"/>
  <c r="E450" i="59"/>
  <c r="H448" i="59"/>
  <c r="H447" i="59"/>
  <c r="H446" i="59"/>
  <c r="H445" i="59"/>
  <c r="H444" i="59"/>
  <c r="H443" i="59"/>
  <c r="G443" i="59"/>
  <c r="F443" i="59"/>
  <c r="F435" i="59" s="1"/>
  <c r="F434" i="59" s="1"/>
  <c r="F433" i="59" s="1"/>
  <c r="E443" i="59"/>
  <c r="H441" i="59"/>
  <c r="H440" i="59"/>
  <c r="H439" i="59"/>
  <c r="H438" i="59"/>
  <c r="H437" i="59"/>
  <c r="G436" i="59"/>
  <c r="H436" i="59" s="1"/>
  <c r="F436" i="59"/>
  <c r="E436" i="59"/>
  <c r="E435" i="59" s="1"/>
  <c r="E434" i="59" s="1"/>
  <c r="E433" i="59" s="1"/>
  <c r="G435" i="59"/>
  <c r="H432" i="59"/>
  <c r="G431" i="59"/>
  <c r="F431" i="59"/>
  <c r="H431" i="59" s="1"/>
  <c r="E431" i="59"/>
  <c r="G430" i="59"/>
  <c r="F430" i="59"/>
  <c r="H430" i="59" s="1"/>
  <c r="E430" i="59"/>
  <c r="H428" i="59"/>
  <c r="H427" i="59"/>
  <c r="H426" i="59"/>
  <c r="H425" i="59"/>
  <c r="H424" i="59"/>
  <c r="H423" i="59"/>
  <c r="H422" i="59"/>
  <c r="H421" i="59"/>
  <c r="H420" i="59"/>
  <c r="H419" i="59"/>
  <c r="H418" i="59"/>
  <c r="G418" i="59"/>
  <c r="F418" i="59"/>
  <c r="E418" i="59"/>
  <c r="H416" i="59"/>
  <c r="G415" i="59"/>
  <c r="H415" i="59" s="1"/>
  <c r="F415" i="59"/>
  <c r="E415" i="59"/>
  <c r="E410" i="59" s="1"/>
  <c r="E409" i="59" s="1"/>
  <c r="H413" i="59"/>
  <c r="G412" i="59"/>
  <c r="F412" i="59"/>
  <c r="F411" i="59" s="1"/>
  <c r="E412" i="59"/>
  <c r="G411" i="59"/>
  <c r="E411" i="59"/>
  <c r="H407" i="59"/>
  <c r="G406" i="59"/>
  <c r="G402" i="59" s="1"/>
  <c r="F406" i="59"/>
  <c r="E406" i="59"/>
  <c r="E402" i="59" s="1"/>
  <c r="E389" i="59" s="1"/>
  <c r="H404" i="59"/>
  <c r="H403" i="59"/>
  <c r="G403" i="59"/>
  <c r="F403" i="59"/>
  <c r="E403" i="59"/>
  <c r="F402" i="59"/>
  <c r="H400" i="59"/>
  <c r="H399" i="59"/>
  <c r="G398" i="59"/>
  <c r="F398" i="59"/>
  <c r="H398" i="59" s="1"/>
  <c r="E398" i="59"/>
  <c r="H396" i="59"/>
  <c r="H395" i="59"/>
  <c r="H394" i="59"/>
  <c r="H393" i="59"/>
  <c r="G392" i="59"/>
  <c r="F392" i="59"/>
  <c r="H392" i="59" s="1"/>
  <c r="E392" i="59"/>
  <c r="G391" i="59"/>
  <c r="E391" i="59"/>
  <c r="G390" i="59"/>
  <c r="E390" i="59"/>
  <c r="H388" i="59"/>
  <c r="G387" i="59"/>
  <c r="G386" i="59" s="1"/>
  <c r="F387" i="59"/>
  <c r="E387" i="59"/>
  <c r="F386" i="59"/>
  <c r="E386" i="59"/>
  <c r="F385" i="59"/>
  <c r="E385" i="59"/>
  <c r="H384" i="59"/>
  <c r="H383" i="59"/>
  <c r="G383" i="59"/>
  <c r="F383" i="59"/>
  <c r="E383" i="59"/>
  <c r="H382" i="59"/>
  <c r="G382" i="59"/>
  <c r="F382" i="59"/>
  <c r="E382" i="59"/>
  <c r="H381" i="59"/>
  <c r="G381" i="59"/>
  <c r="F381" i="59"/>
  <c r="E381" i="59"/>
  <c r="H380" i="59"/>
  <c r="G379" i="59"/>
  <c r="H379" i="59" s="1"/>
  <c r="F379" i="59"/>
  <c r="E379" i="59"/>
  <c r="E378" i="59" s="1"/>
  <c r="E373" i="59" s="1"/>
  <c r="G378" i="59"/>
  <c r="H378" i="59" s="1"/>
  <c r="F378" i="59"/>
  <c r="H376" i="59"/>
  <c r="G375" i="59"/>
  <c r="F375" i="59"/>
  <c r="F374" i="59" s="1"/>
  <c r="E375" i="59"/>
  <c r="G374" i="59"/>
  <c r="E374" i="59"/>
  <c r="H372" i="59"/>
  <c r="H371" i="59"/>
  <c r="H370" i="59"/>
  <c r="H369" i="59"/>
  <c r="H368" i="59"/>
  <c r="E368" i="59"/>
  <c r="H367" i="59"/>
  <c r="H366" i="59"/>
  <c r="E366" i="59"/>
  <c r="E364" i="59" s="1"/>
  <c r="H365" i="59"/>
  <c r="H364" i="59"/>
  <c r="G364" i="59"/>
  <c r="F364" i="59"/>
  <c r="H362" i="59"/>
  <c r="H361" i="59"/>
  <c r="H360" i="59"/>
  <c r="H359" i="59"/>
  <c r="H358" i="59"/>
  <c r="H357" i="59"/>
  <c r="E357" i="59"/>
  <c r="H356" i="59"/>
  <c r="H355" i="59"/>
  <c r="E355" i="59"/>
  <c r="H354" i="59"/>
  <c r="G353" i="59"/>
  <c r="G352" i="59" s="1"/>
  <c r="H352" i="59" s="1"/>
  <c r="F353" i="59"/>
  <c r="E353" i="59"/>
  <c r="F352" i="59"/>
  <c r="E352" i="59"/>
  <c r="H350" i="59"/>
  <c r="H349" i="59"/>
  <c r="G349" i="59"/>
  <c r="F349" i="59"/>
  <c r="E349" i="59"/>
  <c r="H347" i="59"/>
  <c r="H346" i="59"/>
  <c r="H345" i="59"/>
  <c r="H344" i="59"/>
  <c r="H343" i="59"/>
  <c r="H342" i="59"/>
  <c r="H341" i="59"/>
  <c r="H340" i="59"/>
  <c r="H339" i="59"/>
  <c r="H338" i="59"/>
  <c r="H337" i="59"/>
  <c r="H336" i="59"/>
  <c r="H335" i="59"/>
  <c r="H334" i="59"/>
  <c r="H333" i="59"/>
  <c r="H332" i="59"/>
  <c r="E332" i="59"/>
  <c r="E325" i="59" s="1"/>
  <c r="E317" i="59" s="1"/>
  <c r="E316" i="59" s="1"/>
  <c r="E315" i="59" s="1"/>
  <c r="H331" i="59"/>
  <c r="H330" i="59"/>
  <c r="H329" i="59"/>
  <c r="H328" i="59"/>
  <c r="H327" i="59"/>
  <c r="H326" i="59"/>
  <c r="G325" i="59"/>
  <c r="G317" i="59" s="1"/>
  <c r="F325" i="59"/>
  <c r="H323" i="59"/>
  <c r="H322" i="59"/>
  <c r="H321" i="59"/>
  <c r="H320" i="59"/>
  <c r="H319" i="59"/>
  <c r="H318" i="59"/>
  <c r="G318" i="59"/>
  <c r="F318" i="59"/>
  <c r="E318" i="59"/>
  <c r="F317" i="59"/>
  <c r="F316" i="59"/>
  <c r="F315" i="59"/>
  <c r="H314" i="59"/>
  <c r="G313" i="59"/>
  <c r="H313" i="59" s="1"/>
  <c r="F313" i="59"/>
  <c r="E313" i="59"/>
  <c r="E312" i="59" s="1"/>
  <c r="E311" i="59" s="1"/>
  <c r="E310" i="59" s="1"/>
  <c r="G312" i="59"/>
  <c r="H312" i="59" s="1"/>
  <c r="F312" i="59"/>
  <c r="G311" i="59"/>
  <c r="H311" i="59" s="1"/>
  <c r="F311" i="59"/>
  <c r="G310" i="59"/>
  <c r="H310" i="59" s="1"/>
  <c r="F310" i="59"/>
  <c r="H309" i="59"/>
  <c r="G308" i="59"/>
  <c r="F308" i="59"/>
  <c r="F307" i="59" s="1"/>
  <c r="E308" i="59"/>
  <c r="G307" i="59"/>
  <c r="E307" i="59"/>
  <c r="H305" i="59"/>
  <c r="H304" i="59"/>
  <c r="H303" i="59"/>
  <c r="G303" i="59"/>
  <c r="F303" i="59"/>
  <c r="E303" i="59"/>
  <c r="G302" i="59"/>
  <c r="E302" i="59"/>
  <c r="G301" i="59"/>
  <c r="E301" i="59"/>
  <c r="H297" i="59"/>
  <c r="H296" i="59"/>
  <c r="H295" i="59"/>
  <c r="G294" i="59"/>
  <c r="H294" i="59" s="1"/>
  <c r="F294" i="59"/>
  <c r="E294" i="59"/>
  <c r="H289" i="59"/>
  <c r="H288" i="59"/>
  <c r="H287" i="59"/>
  <c r="G286" i="59"/>
  <c r="F286" i="59"/>
  <c r="F285" i="59" s="1"/>
  <c r="E286" i="59"/>
  <c r="G285" i="59"/>
  <c r="E285" i="59"/>
  <c r="H284" i="59"/>
  <c r="G283" i="59"/>
  <c r="H283" i="59" s="1"/>
  <c r="F283" i="59"/>
  <c r="E283" i="59"/>
  <c r="F282" i="59"/>
  <c r="E282" i="59"/>
  <c r="F281" i="59"/>
  <c r="E281" i="59"/>
  <c r="E280" i="59"/>
  <c r="H279" i="59"/>
  <c r="H278" i="59"/>
  <c r="H277" i="59"/>
  <c r="G276" i="59"/>
  <c r="F276" i="59"/>
  <c r="H276" i="59" s="1"/>
  <c r="E276" i="59"/>
  <c r="H274" i="59"/>
  <c r="H273" i="59"/>
  <c r="H272" i="59"/>
  <c r="G271" i="59"/>
  <c r="H271" i="59" s="1"/>
  <c r="F271" i="59"/>
  <c r="E271" i="59"/>
  <c r="E270" i="59" s="1"/>
  <c r="E257" i="59" s="1"/>
  <c r="E256" i="59" s="1"/>
  <c r="G270" i="59"/>
  <c r="H270" i="59" s="1"/>
  <c r="F270" i="59"/>
  <c r="H268" i="59"/>
  <c r="H267" i="59"/>
  <c r="G266" i="59"/>
  <c r="H266" i="59" s="1"/>
  <c r="F266" i="59"/>
  <c r="E266" i="59"/>
  <c r="H264" i="59"/>
  <c r="H263" i="59"/>
  <c r="H262" i="59"/>
  <c r="H261" i="59"/>
  <c r="G260" i="59"/>
  <c r="H260" i="59" s="1"/>
  <c r="F260" i="59"/>
  <c r="E260" i="59"/>
  <c r="F259" i="59"/>
  <c r="E259" i="59"/>
  <c r="F258" i="59"/>
  <c r="E258" i="59"/>
  <c r="F257" i="59"/>
  <c r="H254" i="59"/>
  <c r="H253" i="59"/>
  <c r="G253" i="59"/>
  <c r="F253" i="59"/>
  <c r="E253" i="59"/>
  <c r="H251" i="59"/>
  <c r="H250" i="59"/>
  <c r="H249" i="59"/>
  <c r="H248" i="59"/>
  <c r="H247" i="59"/>
  <c r="G247" i="59"/>
  <c r="F247" i="59"/>
  <c r="E247" i="59"/>
  <c r="H246" i="59"/>
  <c r="G246" i="59"/>
  <c r="F246" i="59"/>
  <c r="E246" i="59"/>
  <c r="H245" i="59"/>
  <c r="G245" i="59"/>
  <c r="F245" i="59"/>
  <c r="E245" i="59"/>
  <c r="H244" i="59"/>
  <c r="G244" i="59"/>
  <c r="F244" i="59"/>
  <c r="E244" i="59"/>
  <c r="H243" i="59"/>
  <c r="G243" i="59"/>
  <c r="F243" i="59"/>
  <c r="E243" i="59"/>
  <c r="H242" i="59"/>
  <c r="H241" i="59"/>
  <c r="H240" i="59"/>
  <c r="G239" i="59"/>
  <c r="H239" i="59" s="1"/>
  <c r="F239" i="59"/>
  <c r="E239" i="59"/>
  <c r="H237" i="59"/>
  <c r="H236" i="59"/>
  <c r="H235" i="59"/>
  <c r="H234" i="59"/>
  <c r="H233" i="59"/>
  <c r="H231" i="59"/>
  <c r="H230" i="59"/>
  <c r="H229" i="59"/>
  <c r="G228" i="59"/>
  <c r="H228" i="59" s="1"/>
  <c r="F228" i="59"/>
  <c r="E228" i="59"/>
  <c r="G227" i="59"/>
  <c r="G206" i="59" s="1"/>
  <c r="F227" i="59"/>
  <c r="E227" i="59"/>
  <c r="H225" i="59"/>
  <c r="H224" i="59"/>
  <c r="H223" i="59"/>
  <c r="H222" i="59"/>
  <c r="H221" i="59"/>
  <c r="H220" i="59"/>
  <c r="H219" i="59"/>
  <c r="H218" i="59"/>
  <c r="H217" i="59"/>
  <c r="H216" i="59"/>
  <c r="H215" i="59"/>
  <c r="G214" i="59"/>
  <c r="F214" i="59"/>
  <c r="H214" i="59" s="1"/>
  <c r="E214" i="59"/>
  <c r="H212" i="59"/>
  <c r="H211" i="59"/>
  <c r="H209" i="59"/>
  <c r="G208" i="59"/>
  <c r="H208" i="59" s="1"/>
  <c r="F208" i="59"/>
  <c r="E208" i="59"/>
  <c r="E207" i="59" s="1"/>
  <c r="E206" i="59" s="1"/>
  <c r="E205" i="59" s="1"/>
  <c r="G207" i="59"/>
  <c r="H204" i="59"/>
  <c r="H203" i="59"/>
  <c r="H202" i="59"/>
  <c r="H201" i="59"/>
  <c r="H200" i="59"/>
  <c r="H199" i="59"/>
  <c r="H198" i="59"/>
  <c r="H197" i="59"/>
  <c r="H196" i="59"/>
  <c r="H195" i="59"/>
  <c r="H194" i="59"/>
  <c r="H193" i="59"/>
  <c r="H192" i="59"/>
  <c r="H191" i="59"/>
  <c r="H190" i="59"/>
  <c r="H189" i="59"/>
  <c r="H188" i="59"/>
  <c r="H187" i="59"/>
  <c r="H186" i="59"/>
  <c r="H185" i="59"/>
  <c r="H184" i="59"/>
  <c r="H183" i="59"/>
  <c r="H182" i="59"/>
  <c r="H181" i="59"/>
  <c r="H180" i="59"/>
  <c r="H179" i="59"/>
  <c r="H178" i="59"/>
  <c r="H177" i="59"/>
  <c r="G177" i="59"/>
  <c r="F177" i="59"/>
  <c r="E177" i="59"/>
  <c r="H176" i="59"/>
  <c r="G176" i="59"/>
  <c r="F176" i="59"/>
  <c r="E176" i="59"/>
  <c r="H175" i="59"/>
  <c r="G175" i="59"/>
  <c r="F175" i="59"/>
  <c r="E175" i="59"/>
  <c r="H174" i="59"/>
  <c r="G174" i="59"/>
  <c r="F174" i="59"/>
  <c r="E174" i="59"/>
  <c r="H173" i="59"/>
  <c r="G172" i="59"/>
  <c r="H172" i="59" s="1"/>
  <c r="F172" i="59"/>
  <c r="E172" i="59"/>
  <c r="H170" i="59"/>
  <c r="H169" i="59"/>
  <c r="H168" i="59"/>
  <c r="H167" i="59"/>
  <c r="E167" i="59"/>
  <c r="H166" i="59"/>
  <c r="H165" i="59"/>
  <c r="E165" i="59"/>
  <c r="E163" i="59" s="1"/>
  <c r="E156" i="59" s="1"/>
  <c r="E155" i="59" s="1"/>
  <c r="E154" i="59" s="1"/>
  <c r="H164" i="59"/>
  <c r="G163" i="59"/>
  <c r="F163" i="59"/>
  <c r="H163" i="59" s="1"/>
  <c r="H161" i="59"/>
  <c r="H160" i="59"/>
  <c r="H159" i="59"/>
  <c r="H158" i="59"/>
  <c r="G157" i="59"/>
  <c r="F157" i="59"/>
  <c r="H157" i="59" s="1"/>
  <c r="E157" i="59"/>
  <c r="G156" i="59"/>
  <c r="F156" i="59"/>
  <c r="F155" i="59" s="1"/>
  <c r="F154" i="59" s="1"/>
  <c r="H153" i="59"/>
  <c r="G152" i="59"/>
  <c r="H152" i="59" s="1"/>
  <c r="F152" i="59"/>
  <c r="E152" i="59"/>
  <c r="F151" i="59"/>
  <c r="E151" i="59"/>
  <c r="F150" i="59"/>
  <c r="E150" i="59"/>
  <c r="H149" i="59"/>
  <c r="H148" i="59"/>
  <c r="H147" i="59"/>
  <c r="G146" i="59"/>
  <c r="F146" i="59"/>
  <c r="H146" i="59" s="1"/>
  <c r="E146" i="59"/>
  <c r="G145" i="59"/>
  <c r="F145" i="59"/>
  <c r="H145" i="59" s="1"/>
  <c r="E145" i="59"/>
  <c r="H143" i="59"/>
  <c r="H142" i="59"/>
  <c r="H141" i="59"/>
  <c r="G141" i="59"/>
  <c r="F141" i="59"/>
  <c r="E141" i="59"/>
  <c r="H139" i="59"/>
  <c r="H138" i="59"/>
  <c r="G137" i="59"/>
  <c r="F137" i="59"/>
  <c r="H137" i="59" s="1"/>
  <c r="E137" i="59"/>
  <c r="G136" i="59"/>
  <c r="F136" i="59"/>
  <c r="H136" i="59" s="1"/>
  <c r="E136" i="59"/>
  <c r="G135" i="59"/>
  <c r="F135" i="59"/>
  <c r="H135" i="59" s="1"/>
  <c r="E135" i="59"/>
  <c r="G134" i="59"/>
  <c r="E134" i="59"/>
  <c r="H133" i="59"/>
  <c r="H132" i="59"/>
  <c r="H131" i="59"/>
  <c r="H130" i="59"/>
  <c r="H129" i="59"/>
  <c r="H128" i="59"/>
  <c r="H125" i="59"/>
  <c r="H124" i="59"/>
  <c r="H123" i="59"/>
  <c r="H122" i="59"/>
  <c r="H121" i="59"/>
  <c r="H120" i="59"/>
  <c r="H119" i="59"/>
  <c r="H118" i="59"/>
  <c r="H117" i="59"/>
  <c r="H116" i="59"/>
  <c r="H115" i="59"/>
  <c r="H114" i="59"/>
  <c r="H113" i="59"/>
  <c r="H112" i="59"/>
  <c r="H111" i="59"/>
  <c r="H110" i="59"/>
  <c r="H109" i="59"/>
  <c r="H108" i="59"/>
  <c r="H107" i="59"/>
  <c r="H106" i="59"/>
  <c r="H105" i="59"/>
  <c r="H104" i="59"/>
  <c r="G103" i="59"/>
  <c r="G2071" i="59" s="1"/>
  <c r="F103" i="59"/>
  <c r="F2071" i="59" s="1"/>
  <c r="E103" i="59"/>
  <c r="G102" i="59"/>
  <c r="E102" i="59"/>
  <c r="G101" i="59"/>
  <c r="E101" i="59"/>
  <c r="G99" i="59"/>
  <c r="F99" i="59"/>
  <c r="E99" i="59"/>
  <c r="H97" i="59"/>
  <c r="H96" i="59"/>
  <c r="G94" i="59"/>
  <c r="H94" i="59" s="1"/>
  <c r="F94" i="59"/>
  <c r="E94" i="59"/>
  <c r="E93" i="59" s="1"/>
  <c r="G93" i="59"/>
  <c r="H93" i="59" s="1"/>
  <c r="F93" i="59"/>
  <c r="G90" i="59"/>
  <c r="F90" i="59"/>
  <c r="E90" i="59"/>
  <c r="G79" i="59"/>
  <c r="G72" i="59" s="1"/>
  <c r="F79" i="59"/>
  <c r="E79" i="59"/>
  <c r="E72" i="59" s="1"/>
  <c r="E71" i="59" s="1"/>
  <c r="E70" i="59" s="1"/>
  <c r="H77" i="59"/>
  <c r="H76" i="59"/>
  <c r="H75" i="59"/>
  <c r="H73" i="59"/>
  <c r="G73" i="59"/>
  <c r="F73" i="59"/>
  <c r="F72" i="59" s="1"/>
  <c r="F71" i="59" s="1"/>
  <c r="F70" i="59" s="1"/>
  <c r="E73" i="59"/>
  <c r="H69" i="59"/>
  <c r="G68" i="59"/>
  <c r="G2070" i="59" s="1"/>
  <c r="F68" i="59"/>
  <c r="E68" i="59"/>
  <c r="E2070" i="59" s="1"/>
  <c r="H66" i="59"/>
  <c r="H65" i="59"/>
  <c r="H64" i="59"/>
  <c r="H63" i="59"/>
  <c r="H61" i="59"/>
  <c r="H60" i="59"/>
  <c r="H59" i="59"/>
  <c r="H58" i="59"/>
  <c r="H57" i="59"/>
  <c r="H56" i="59"/>
  <c r="G55" i="59"/>
  <c r="H55" i="59" s="1"/>
  <c r="F55" i="59"/>
  <c r="E55" i="59"/>
  <c r="H53" i="59"/>
  <c r="H52" i="59"/>
  <c r="H51" i="59"/>
  <c r="H50" i="59"/>
  <c r="G48" i="59"/>
  <c r="H48" i="59" s="1"/>
  <c r="F48" i="59"/>
  <c r="E48" i="59"/>
  <c r="G47" i="59"/>
  <c r="H47" i="59" s="1"/>
  <c r="F47" i="59"/>
  <c r="E47" i="59"/>
  <c r="G46" i="59"/>
  <c r="H46" i="59" s="1"/>
  <c r="F46" i="59"/>
  <c r="G45" i="59"/>
  <c r="H45" i="59" s="1"/>
  <c r="F45" i="59"/>
  <c r="H44" i="59"/>
  <c r="H43" i="59"/>
  <c r="G43" i="59"/>
  <c r="F43" i="59"/>
  <c r="E43" i="59"/>
  <c r="H42" i="59"/>
  <c r="G42" i="59"/>
  <c r="F42" i="59"/>
  <c r="E42" i="59"/>
  <c r="H40" i="59"/>
  <c r="G39" i="59"/>
  <c r="H39" i="59" s="1"/>
  <c r="F39" i="59"/>
  <c r="E39" i="59"/>
  <c r="H37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20" i="59"/>
  <c r="G19" i="59"/>
  <c r="F19" i="59"/>
  <c r="F2068" i="59" s="1"/>
  <c r="E19" i="59"/>
  <c r="H17" i="59"/>
  <c r="H16" i="59"/>
  <c r="H15" i="59"/>
  <c r="H14" i="59"/>
  <c r="H13" i="59"/>
  <c r="G12" i="59"/>
  <c r="H12" i="59" s="1"/>
  <c r="F12" i="59"/>
  <c r="E12" i="59"/>
  <c r="E11" i="59" s="1"/>
  <c r="E10" i="59" s="1"/>
  <c r="E9" i="59" s="1"/>
  <c r="G614" i="58"/>
  <c r="G610" i="58"/>
  <c r="F610" i="58"/>
  <c r="E610" i="58"/>
  <c r="E609" i="58" s="1"/>
  <c r="E608" i="58" s="1"/>
  <c r="G609" i="58"/>
  <c r="F609" i="58"/>
  <c r="G608" i="58"/>
  <c r="F608" i="58"/>
  <c r="H606" i="58"/>
  <c r="H604" i="58"/>
  <c r="G604" i="58"/>
  <c r="F604" i="58"/>
  <c r="E604" i="58"/>
  <c r="H603" i="58"/>
  <c r="G603" i="58"/>
  <c r="F603" i="58"/>
  <c r="E603" i="58"/>
  <c r="H602" i="58"/>
  <c r="G601" i="58"/>
  <c r="H601" i="58" s="1"/>
  <c r="F601" i="58"/>
  <c r="H600" i="58"/>
  <c r="H599" i="58"/>
  <c r="H597" i="58"/>
  <c r="G596" i="58"/>
  <c r="H596" i="58" s="1"/>
  <c r="F596" i="58"/>
  <c r="E596" i="58"/>
  <c r="G595" i="58"/>
  <c r="H595" i="58" s="1"/>
  <c r="F595" i="58"/>
  <c r="E595" i="58"/>
  <c r="G594" i="58"/>
  <c r="H594" i="58" s="1"/>
  <c r="F594" i="58"/>
  <c r="E594" i="58"/>
  <c r="G592" i="58"/>
  <c r="F592" i="58"/>
  <c r="F588" i="58" s="1"/>
  <c r="E592" i="58"/>
  <c r="H591" i="58"/>
  <c r="G589" i="58"/>
  <c r="H589" i="58" s="1"/>
  <c r="F589" i="58"/>
  <c r="E589" i="58"/>
  <c r="G588" i="58"/>
  <c r="H588" i="58" s="1"/>
  <c r="E588" i="58"/>
  <c r="H587" i="58"/>
  <c r="H586" i="58"/>
  <c r="G586" i="58"/>
  <c r="F586" i="58"/>
  <c r="E586" i="58"/>
  <c r="G584" i="58"/>
  <c r="F584" i="58"/>
  <c r="E584" i="58"/>
  <c r="G583" i="58"/>
  <c r="H583" i="58" s="1"/>
  <c r="F583" i="58"/>
  <c r="E583" i="58"/>
  <c r="H581" i="58"/>
  <c r="H580" i="58"/>
  <c r="G579" i="58"/>
  <c r="H579" i="58" s="1"/>
  <c r="F579" i="58"/>
  <c r="E579" i="58"/>
  <c r="G578" i="58"/>
  <c r="H578" i="58" s="1"/>
  <c r="F578" i="58"/>
  <c r="E578" i="58"/>
  <c r="G576" i="58"/>
  <c r="F576" i="58"/>
  <c r="F574" i="58" s="1"/>
  <c r="E576" i="58"/>
  <c r="G574" i="58"/>
  <c r="E574" i="58"/>
  <c r="H573" i="58"/>
  <c r="H572" i="58"/>
  <c r="G572" i="58"/>
  <c r="F572" i="58"/>
  <c r="F569" i="58" s="1"/>
  <c r="E572" i="58"/>
  <c r="G570" i="58"/>
  <c r="F570" i="58"/>
  <c r="E570" i="58"/>
  <c r="G569" i="58"/>
  <c r="H569" i="58" s="1"/>
  <c r="E569" i="58"/>
  <c r="G567" i="58"/>
  <c r="F567" i="58"/>
  <c r="F564" i="58" s="1"/>
  <c r="E567" i="58"/>
  <c r="H566" i="58"/>
  <c r="G565" i="58"/>
  <c r="H565" i="58" s="1"/>
  <c r="F565" i="58"/>
  <c r="E565" i="58"/>
  <c r="G564" i="58"/>
  <c r="H564" i="58" s="1"/>
  <c r="E564" i="58"/>
  <c r="H562" i="58"/>
  <c r="H561" i="58"/>
  <c r="G561" i="58"/>
  <c r="F561" i="58"/>
  <c r="E561" i="58"/>
  <c r="H560" i="58"/>
  <c r="G560" i="58"/>
  <c r="F560" i="58"/>
  <c r="E560" i="58"/>
  <c r="G556" i="58"/>
  <c r="G555" i="58" s="1"/>
  <c r="F556" i="58"/>
  <c r="E556" i="58"/>
  <c r="E555" i="58" s="1"/>
  <c r="F555" i="58"/>
  <c r="H552" i="58"/>
  <c r="G550" i="58"/>
  <c r="H550" i="58" s="1"/>
  <c r="F550" i="58"/>
  <c r="E550" i="58"/>
  <c r="G549" i="58"/>
  <c r="H549" i="58" s="1"/>
  <c r="F549" i="58"/>
  <c r="E549" i="58"/>
  <c r="H547" i="58"/>
  <c r="H546" i="58"/>
  <c r="H545" i="58"/>
  <c r="G544" i="58"/>
  <c r="F544" i="58"/>
  <c r="H544" i="58" s="1"/>
  <c r="E544" i="58"/>
  <c r="G543" i="58"/>
  <c r="F543" i="58"/>
  <c r="H543" i="58" s="1"/>
  <c r="E543" i="58"/>
  <c r="H541" i="58"/>
  <c r="H540" i="58"/>
  <c r="H539" i="58"/>
  <c r="G538" i="58"/>
  <c r="H538" i="58" s="1"/>
  <c r="F538" i="58"/>
  <c r="E538" i="58"/>
  <c r="G537" i="58"/>
  <c r="H537" i="58" s="1"/>
  <c r="F537" i="58"/>
  <c r="E537" i="58"/>
  <c r="E528" i="58" s="1"/>
  <c r="H535" i="58"/>
  <c r="G534" i="58"/>
  <c r="F534" i="58"/>
  <c r="H534" i="58" s="1"/>
  <c r="E534" i="58"/>
  <c r="G533" i="58"/>
  <c r="F533" i="58"/>
  <c r="F528" i="58" s="1"/>
  <c r="E533" i="58"/>
  <c r="H531" i="58"/>
  <c r="G530" i="58"/>
  <c r="H530" i="58" s="1"/>
  <c r="F530" i="58"/>
  <c r="E530" i="58"/>
  <c r="G529" i="58"/>
  <c r="H529" i="58" s="1"/>
  <c r="F529" i="58"/>
  <c r="E529" i="58"/>
  <c r="G528" i="58"/>
  <c r="H526" i="58"/>
  <c r="H525" i="58"/>
  <c r="H524" i="58"/>
  <c r="G523" i="58"/>
  <c r="H523" i="58" s="1"/>
  <c r="F523" i="58"/>
  <c r="E523" i="58"/>
  <c r="E522" i="58" s="1"/>
  <c r="G522" i="58"/>
  <c r="H522" i="58" s="1"/>
  <c r="F522" i="58"/>
  <c r="H520" i="58"/>
  <c r="G519" i="58"/>
  <c r="H519" i="58" s="1"/>
  <c r="F519" i="58"/>
  <c r="E519" i="58"/>
  <c r="G518" i="58"/>
  <c r="H518" i="58" s="1"/>
  <c r="F518" i="58"/>
  <c r="E518" i="58"/>
  <c r="H515" i="58"/>
  <c r="H514" i="58"/>
  <c r="H513" i="58"/>
  <c r="G512" i="58"/>
  <c r="H512" i="58" s="1"/>
  <c r="F512" i="58"/>
  <c r="E512" i="58"/>
  <c r="G511" i="58"/>
  <c r="H511" i="58" s="1"/>
  <c r="F511" i="58"/>
  <c r="E511" i="58"/>
  <c r="G508" i="58"/>
  <c r="F508" i="58"/>
  <c r="F507" i="58" s="1"/>
  <c r="F506" i="58" s="1"/>
  <c r="E508" i="58"/>
  <c r="E507" i="58" s="1"/>
  <c r="E506" i="58" s="1"/>
  <c r="G507" i="58"/>
  <c r="G506" i="58"/>
  <c r="H506" i="58" s="1"/>
  <c r="G503" i="58"/>
  <c r="G502" i="58" s="1"/>
  <c r="G501" i="58" s="1"/>
  <c r="F503" i="58"/>
  <c r="F502" i="58" s="1"/>
  <c r="F501" i="58" s="1"/>
  <c r="E503" i="58"/>
  <c r="E502" i="58"/>
  <c r="E501" i="58" s="1"/>
  <c r="H500" i="58"/>
  <c r="G499" i="58"/>
  <c r="H499" i="58" s="1"/>
  <c r="F499" i="58"/>
  <c r="F490" i="58" s="1"/>
  <c r="E499" i="58"/>
  <c r="E490" i="58" s="1"/>
  <c r="H498" i="58"/>
  <c r="H497" i="58"/>
  <c r="H496" i="58"/>
  <c r="H495" i="58"/>
  <c r="H494" i="58"/>
  <c r="H493" i="58"/>
  <c r="H492" i="58"/>
  <c r="H491" i="58"/>
  <c r="G491" i="58"/>
  <c r="F491" i="58"/>
  <c r="E491" i="58"/>
  <c r="H489" i="58"/>
  <c r="G488" i="58"/>
  <c r="H488" i="58" s="1"/>
  <c r="F488" i="58"/>
  <c r="E488" i="58"/>
  <c r="H487" i="58"/>
  <c r="H485" i="58"/>
  <c r="H484" i="58"/>
  <c r="H483" i="58"/>
  <c r="G476" i="58"/>
  <c r="H476" i="58" s="1"/>
  <c r="F476" i="58"/>
  <c r="E476" i="58"/>
  <c r="E475" i="58" s="1"/>
  <c r="E470" i="58" s="1"/>
  <c r="G475" i="58"/>
  <c r="H475" i="58" s="1"/>
  <c r="F475" i="58"/>
  <c r="H473" i="58"/>
  <c r="G472" i="58"/>
  <c r="H472" i="58" s="1"/>
  <c r="F472" i="58"/>
  <c r="F471" i="58" s="1"/>
  <c r="F470" i="58" s="1"/>
  <c r="E472" i="58"/>
  <c r="G471" i="58"/>
  <c r="H471" i="58" s="1"/>
  <c r="E471" i="58"/>
  <c r="H469" i="58"/>
  <c r="H468" i="58"/>
  <c r="H467" i="58"/>
  <c r="G467" i="58"/>
  <c r="F467" i="58"/>
  <c r="F458" i="58" s="1"/>
  <c r="E467" i="58"/>
  <c r="E458" i="58" s="1"/>
  <c r="E444" i="58" s="1"/>
  <c r="H466" i="58"/>
  <c r="H465" i="58"/>
  <c r="H464" i="58"/>
  <c r="H463" i="58"/>
  <c r="H462" i="58"/>
  <c r="H461" i="58"/>
  <c r="H460" i="58"/>
  <c r="G459" i="58"/>
  <c r="H459" i="58" s="1"/>
  <c r="F459" i="58"/>
  <c r="E459" i="58"/>
  <c r="H455" i="58"/>
  <c r="H452" i="58"/>
  <c r="H451" i="58"/>
  <c r="G450" i="58"/>
  <c r="H450" i="58" s="1"/>
  <c r="F450" i="58"/>
  <c r="E450" i="58"/>
  <c r="G449" i="58"/>
  <c r="H449" i="58" s="1"/>
  <c r="F449" i="58"/>
  <c r="F444" i="58" s="1"/>
  <c r="E449" i="58"/>
  <c r="H447" i="58"/>
  <c r="G446" i="58"/>
  <c r="H446" i="58" s="1"/>
  <c r="F446" i="58"/>
  <c r="E446" i="58"/>
  <c r="G445" i="58"/>
  <c r="H445" i="58" s="1"/>
  <c r="F445" i="58"/>
  <c r="E445" i="58"/>
  <c r="H442" i="58"/>
  <c r="H441" i="58"/>
  <c r="G441" i="58"/>
  <c r="F441" i="58"/>
  <c r="E441" i="58"/>
  <c r="H440" i="58"/>
  <c r="G440" i="58"/>
  <c r="F440" i="58"/>
  <c r="E440" i="58"/>
  <c r="H438" i="58"/>
  <c r="G437" i="58"/>
  <c r="H437" i="58" s="1"/>
  <c r="F437" i="58"/>
  <c r="E437" i="58"/>
  <c r="G436" i="58"/>
  <c r="H436" i="58" s="1"/>
  <c r="F436" i="58"/>
  <c r="E436" i="58"/>
  <c r="G432" i="58"/>
  <c r="F432" i="58"/>
  <c r="F431" i="58" s="1"/>
  <c r="E432" i="58"/>
  <c r="E431" i="58" s="1"/>
  <c r="G431" i="58"/>
  <c r="G427" i="58"/>
  <c r="G426" i="58" s="1"/>
  <c r="F427" i="58"/>
  <c r="F426" i="58" s="1"/>
  <c r="E427" i="58"/>
  <c r="E426" i="58"/>
  <c r="G424" i="58"/>
  <c r="F424" i="58"/>
  <c r="F422" i="58" s="1"/>
  <c r="E424" i="58"/>
  <c r="E422" i="58" s="1"/>
  <c r="G422" i="58"/>
  <c r="H420" i="58"/>
  <c r="H419" i="58"/>
  <c r="H418" i="58"/>
  <c r="G417" i="58"/>
  <c r="H417" i="58" s="1"/>
  <c r="F417" i="58"/>
  <c r="F415" i="58" s="1"/>
  <c r="E417" i="58"/>
  <c r="G415" i="58"/>
  <c r="H415" i="58" s="1"/>
  <c r="E415" i="58"/>
  <c r="G413" i="58"/>
  <c r="G411" i="58" s="1"/>
  <c r="F413" i="58"/>
  <c r="F411" i="58" s="1"/>
  <c r="E413" i="58"/>
  <c r="E411" i="58" s="1"/>
  <c r="E401" i="58" s="1"/>
  <c r="H410" i="58"/>
  <c r="H408" i="58"/>
  <c r="G407" i="58"/>
  <c r="H407" i="58" s="1"/>
  <c r="F407" i="58"/>
  <c r="F402" i="58" s="1"/>
  <c r="E407" i="58"/>
  <c r="H406" i="58"/>
  <c r="G403" i="58"/>
  <c r="G402" i="58" s="1"/>
  <c r="F403" i="58"/>
  <c r="E403" i="58"/>
  <c r="E402" i="58"/>
  <c r="H399" i="58"/>
  <c r="H398" i="58"/>
  <c r="G398" i="58"/>
  <c r="F398" i="58"/>
  <c r="E398" i="58"/>
  <c r="H397" i="58"/>
  <c r="G397" i="58"/>
  <c r="F397" i="58"/>
  <c r="E397" i="58"/>
  <c r="H396" i="58"/>
  <c r="G396" i="58"/>
  <c r="F396" i="58"/>
  <c r="E396" i="58"/>
  <c r="H395" i="58"/>
  <c r="G394" i="58"/>
  <c r="H394" i="58" s="1"/>
  <c r="F394" i="58"/>
  <c r="E394" i="58"/>
  <c r="E383" i="58" s="1"/>
  <c r="H393" i="58"/>
  <c r="H391" i="58"/>
  <c r="H389" i="58"/>
  <c r="H388" i="58"/>
  <c r="H387" i="58"/>
  <c r="G384" i="58"/>
  <c r="H384" i="58" s="1"/>
  <c r="F384" i="58"/>
  <c r="E384" i="58"/>
  <c r="G383" i="58"/>
  <c r="F383" i="58"/>
  <c r="H381" i="58"/>
  <c r="G380" i="58"/>
  <c r="H380" i="58" s="1"/>
  <c r="F380" i="58"/>
  <c r="E380" i="58"/>
  <c r="F379" i="58"/>
  <c r="E379" i="58"/>
  <c r="H376" i="58"/>
  <c r="H375" i="58"/>
  <c r="H373" i="58"/>
  <c r="H372" i="58"/>
  <c r="G371" i="58"/>
  <c r="H371" i="58" s="1"/>
  <c r="F371" i="58"/>
  <c r="E371" i="58"/>
  <c r="F370" i="58"/>
  <c r="E370" i="58"/>
  <c r="H368" i="58"/>
  <c r="H366" i="58"/>
  <c r="H365" i="58"/>
  <c r="H363" i="58"/>
  <c r="H362" i="58"/>
  <c r="H361" i="58"/>
  <c r="G359" i="58"/>
  <c r="H359" i="58" s="1"/>
  <c r="F359" i="58"/>
  <c r="E359" i="58"/>
  <c r="E358" i="58" s="1"/>
  <c r="E341" i="58" s="1"/>
  <c r="G358" i="58"/>
  <c r="H358" i="58" s="1"/>
  <c r="F358" i="58"/>
  <c r="H355" i="58"/>
  <c r="G352" i="58"/>
  <c r="F352" i="58"/>
  <c r="F351" i="58" s="1"/>
  <c r="F341" i="58" s="1"/>
  <c r="E352" i="58"/>
  <c r="G351" i="58"/>
  <c r="E351" i="58"/>
  <c r="H349" i="58"/>
  <c r="G348" i="58"/>
  <c r="H348" i="58" s="1"/>
  <c r="F348" i="58"/>
  <c r="E348" i="58"/>
  <c r="F347" i="58"/>
  <c r="E347" i="58"/>
  <c r="H344" i="58"/>
  <c r="H343" i="58"/>
  <c r="G343" i="58"/>
  <c r="F343" i="58"/>
  <c r="E343" i="58"/>
  <c r="H342" i="58"/>
  <c r="G342" i="58"/>
  <c r="F342" i="58"/>
  <c r="E342" i="58"/>
  <c r="H340" i="58"/>
  <c r="H339" i="58"/>
  <c r="G338" i="58"/>
  <c r="H338" i="58" s="1"/>
  <c r="F338" i="58"/>
  <c r="F331" i="58" s="1"/>
  <c r="E338" i="58"/>
  <c r="H337" i="58"/>
  <c r="H336" i="58"/>
  <c r="H335" i="58"/>
  <c r="H334" i="58"/>
  <c r="H333" i="58"/>
  <c r="G332" i="58"/>
  <c r="H332" i="58" s="1"/>
  <c r="F332" i="58"/>
  <c r="E332" i="58"/>
  <c r="E331" i="58"/>
  <c r="H330" i="58"/>
  <c r="E330" i="58"/>
  <c r="H328" i="58"/>
  <c r="H327" i="58"/>
  <c r="E327" i="58"/>
  <c r="H326" i="58"/>
  <c r="H325" i="58"/>
  <c r="E325" i="58"/>
  <c r="G324" i="58"/>
  <c r="F324" i="58"/>
  <c r="H323" i="58"/>
  <c r="E323" i="58"/>
  <c r="H322" i="58"/>
  <c r="H321" i="58"/>
  <c r="H320" i="58"/>
  <c r="E320" i="58"/>
  <c r="E319" i="58" s="1"/>
  <c r="G319" i="58"/>
  <c r="H319" i="58" s="1"/>
  <c r="F319" i="58"/>
  <c r="F318" i="58"/>
  <c r="H316" i="58"/>
  <c r="G315" i="58"/>
  <c r="F315" i="58"/>
  <c r="F314" i="58" s="1"/>
  <c r="E315" i="58"/>
  <c r="G314" i="58"/>
  <c r="E314" i="58"/>
  <c r="H312" i="58"/>
  <c r="G311" i="58"/>
  <c r="H311" i="58" s="1"/>
  <c r="F311" i="58"/>
  <c r="E311" i="58"/>
  <c r="F310" i="58"/>
  <c r="E310" i="58"/>
  <c r="H308" i="58"/>
  <c r="H307" i="58"/>
  <c r="G307" i="58"/>
  <c r="F307" i="58"/>
  <c r="E307" i="58"/>
  <c r="H306" i="58"/>
  <c r="G306" i="58"/>
  <c r="F306" i="58"/>
  <c r="E306" i="58"/>
  <c r="H305" i="58"/>
  <c r="G304" i="58"/>
  <c r="H304" i="58" s="1"/>
  <c r="F304" i="58"/>
  <c r="E304" i="58"/>
  <c r="E302" i="58" s="1"/>
  <c r="G302" i="58"/>
  <c r="H302" i="58" s="1"/>
  <c r="F302" i="58"/>
  <c r="H300" i="58"/>
  <c r="G299" i="58"/>
  <c r="F299" i="58"/>
  <c r="F298" i="58" s="1"/>
  <c r="F297" i="58" s="1"/>
  <c r="E299" i="58"/>
  <c r="G298" i="58"/>
  <c r="E298" i="58"/>
  <c r="H295" i="58"/>
  <c r="E295" i="58"/>
  <c r="H294" i="58"/>
  <c r="G293" i="58"/>
  <c r="F293" i="58"/>
  <c r="H293" i="58" s="1"/>
  <c r="E293" i="58"/>
  <c r="G292" i="58"/>
  <c r="F292" i="58"/>
  <c r="H292" i="58" s="1"/>
  <c r="E292" i="58"/>
  <c r="H290" i="58"/>
  <c r="H289" i="58"/>
  <c r="H288" i="58"/>
  <c r="H287" i="58"/>
  <c r="G286" i="58"/>
  <c r="F286" i="58"/>
  <c r="H286" i="58" s="1"/>
  <c r="E286" i="58"/>
  <c r="G285" i="58"/>
  <c r="H285" i="58" s="1"/>
  <c r="F285" i="58"/>
  <c r="E285" i="58"/>
  <c r="E284" i="58" s="1"/>
  <c r="G284" i="58"/>
  <c r="H284" i="58" s="1"/>
  <c r="F284" i="58"/>
  <c r="G281" i="58"/>
  <c r="F281" i="58"/>
  <c r="E281" i="58"/>
  <c r="E280" i="58" s="1"/>
  <c r="E279" i="58" s="1"/>
  <c r="G280" i="58"/>
  <c r="G279" i="58" s="1"/>
  <c r="F280" i="58"/>
  <c r="F279" i="58"/>
  <c r="H277" i="58"/>
  <c r="G276" i="58"/>
  <c r="H276" i="58" s="1"/>
  <c r="F276" i="58"/>
  <c r="E276" i="58"/>
  <c r="G275" i="58"/>
  <c r="H275" i="58" s="1"/>
  <c r="F275" i="58"/>
  <c r="E275" i="58"/>
  <c r="F274" i="58"/>
  <c r="E274" i="58"/>
  <c r="H273" i="58"/>
  <c r="H272" i="58"/>
  <c r="G272" i="58"/>
  <c r="F272" i="58"/>
  <c r="E272" i="58"/>
  <c r="H271" i="58"/>
  <c r="H270" i="58"/>
  <c r="H269" i="58"/>
  <c r="H268" i="58"/>
  <c r="H267" i="58"/>
  <c r="H266" i="58"/>
  <c r="H265" i="58"/>
  <c r="H264" i="58"/>
  <c r="H263" i="58"/>
  <c r="H262" i="58"/>
  <c r="H261" i="58"/>
  <c r="H260" i="58"/>
  <c r="H258" i="58"/>
  <c r="G257" i="58"/>
  <c r="H257" i="58" s="1"/>
  <c r="F257" i="58"/>
  <c r="E257" i="58"/>
  <c r="E256" i="58" s="1"/>
  <c r="G256" i="58"/>
  <c r="H256" i="58" s="1"/>
  <c r="F256" i="58"/>
  <c r="H254" i="58"/>
  <c r="G253" i="58"/>
  <c r="F253" i="58"/>
  <c r="F252" i="58" s="1"/>
  <c r="E253" i="58"/>
  <c r="G252" i="58"/>
  <c r="E252" i="58"/>
  <c r="H251" i="58"/>
  <c r="G250" i="58"/>
  <c r="F250" i="58"/>
  <c r="E250" i="58"/>
  <c r="H249" i="58"/>
  <c r="H248" i="58"/>
  <c r="G248" i="58"/>
  <c r="F248" i="58"/>
  <c r="E248" i="58"/>
  <c r="F247" i="58"/>
  <c r="E247" i="58"/>
  <c r="G244" i="58"/>
  <c r="G230" i="58" s="1"/>
  <c r="F244" i="58"/>
  <c r="E244" i="58"/>
  <c r="H242" i="58"/>
  <c r="H241" i="58"/>
  <c r="H240" i="58"/>
  <c r="H238" i="58"/>
  <c r="H237" i="58"/>
  <c r="H236" i="58"/>
  <c r="G231" i="58"/>
  <c r="F231" i="58"/>
  <c r="F230" i="58" s="1"/>
  <c r="E231" i="58"/>
  <c r="E230" i="58"/>
  <c r="H228" i="58"/>
  <c r="H227" i="58"/>
  <c r="H226" i="58"/>
  <c r="G226" i="58"/>
  <c r="F226" i="58"/>
  <c r="E226" i="58"/>
  <c r="H225" i="58"/>
  <c r="G225" i="58"/>
  <c r="F225" i="58"/>
  <c r="E225" i="58"/>
  <c r="G223" i="58"/>
  <c r="F223" i="58"/>
  <c r="E223" i="58"/>
  <c r="H222" i="58"/>
  <c r="H221" i="58"/>
  <c r="H219" i="58"/>
  <c r="H218" i="58"/>
  <c r="F216" i="58"/>
  <c r="E216" i="58"/>
  <c r="F215" i="58"/>
  <c r="H215" i="58" s="1"/>
  <c r="E215" i="58"/>
  <c r="E211" i="58" s="1"/>
  <c r="E210" i="58" s="1"/>
  <c r="H214" i="58"/>
  <c r="H213" i="58"/>
  <c r="G211" i="58"/>
  <c r="G210" i="58"/>
  <c r="G206" i="58"/>
  <c r="F206" i="58"/>
  <c r="F205" i="58" s="1"/>
  <c r="E206" i="58"/>
  <c r="G205" i="58"/>
  <c r="E205" i="58"/>
  <c r="H203" i="58"/>
  <c r="H202" i="58"/>
  <c r="G201" i="58"/>
  <c r="H201" i="58" s="1"/>
  <c r="F201" i="58"/>
  <c r="E201" i="58"/>
  <c r="F200" i="58"/>
  <c r="E200" i="58"/>
  <c r="H197" i="58"/>
  <c r="H195" i="58"/>
  <c r="H194" i="58"/>
  <c r="G194" i="58"/>
  <c r="F194" i="58"/>
  <c r="E194" i="58"/>
  <c r="H193" i="58"/>
  <c r="G193" i="58"/>
  <c r="F193" i="58"/>
  <c r="E193" i="58"/>
  <c r="E192" i="58" s="1"/>
  <c r="H192" i="58"/>
  <c r="G192" i="58"/>
  <c r="F192" i="58"/>
  <c r="G190" i="58"/>
  <c r="F190" i="58"/>
  <c r="E190" i="58"/>
  <c r="H189" i="58"/>
  <c r="H185" i="58"/>
  <c r="G185" i="58"/>
  <c r="F185" i="58"/>
  <c r="E185" i="58"/>
  <c r="H184" i="58"/>
  <c r="G184" i="58"/>
  <c r="F184" i="58"/>
  <c r="E184" i="58"/>
  <c r="E183" i="58" s="1"/>
  <c r="H183" i="58"/>
  <c r="G183" i="58"/>
  <c r="F183" i="58"/>
  <c r="G180" i="58"/>
  <c r="F180" i="58"/>
  <c r="E180" i="58"/>
  <c r="G179" i="58"/>
  <c r="F179" i="58"/>
  <c r="E179" i="58"/>
  <c r="H177" i="58"/>
  <c r="H176" i="58"/>
  <c r="H175" i="58"/>
  <c r="H174" i="58"/>
  <c r="H172" i="58"/>
  <c r="H171" i="58"/>
  <c r="H170" i="58"/>
  <c r="G170" i="58"/>
  <c r="F170" i="58"/>
  <c r="E170" i="58"/>
  <c r="E169" i="58" s="1"/>
  <c r="H169" i="58"/>
  <c r="G169" i="58"/>
  <c r="F169" i="58"/>
  <c r="H167" i="58"/>
  <c r="G166" i="58"/>
  <c r="H166" i="58" s="1"/>
  <c r="F166" i="58"/>
  <c r="E166" i="58"/>
  <c r="G165" i="58"/>
  <c r="F165" i="58"/>
  <c r="F156" i="58" s="1"/>
  <c r="E165" i="58"/>
  <c r="G163" i="58"/>
  <c r="F163" i="58"/>
  <c r="E163" i="58"/>
  <c r="E157" i="58" s="1"/>
  <c r="H160" i="58"/>
  <c r="H159" i="58"/>
  <c r="G158" i="58"/>
  <c r="H158" i="58" s="1"/>
  <c r="F158" i="58"/>
  <c r="E158" i="58"/>
  <c r="G157" i="58"/>
  <c r="H157" i="58" s="1"/>
  <c r="F157" i="58"/>
  <c r="H153" i="58"/>
  <c r="H152" i="58"/>
  <c r="H151" i="58"/>
  <c r="G151" i="58"/>
  <c r="F151" i="58"/>
  <c r="E151" i="58"/>
  <c r="E142" i="58" s="1"/>
  <c r="E141" i="58" s="1"/>
  <c r="H150" i="58"/>
  <c r="H149" i="58"/>
  <c r="H148" i="58"/>
  <c r="H147" i="58"/>
  <c r="H145" i="58"/>
  <c r="H144" i="58"/>
  <c r="G143" i="58"/>
  <c r="H143" i="58" s="1"/>
  <c r="F143" i="58"/>
  <c r="E143" i="58"/>
  <c r="G142" i="58"/>
  <c r="H142" i="58" s="1"/>
  <c r="F142" i="58"/>
  <c r="G141" i="58"/>
  <c r="H141" i="58" s="1"/>
  <c r="F141" i="58"/>
  <c r="H139" i="58"/>
  <c r="H138" i="58"/>
  <c r="G138" i="58"/>
  <c r="F138" i="58"/>
  <c r="E138" i="58"/>
  <c r="H137" i="58"/>
  <c r="G137" i="58"/>
  <c r="F137" i="58"/>
  <c r="E137" i="58"/>
  <c r="H136" i="58"/>
  <c r="G136" i="58"/>
  <c r="F136" i="58"/>
  <c r="E136" i="58"/>
  <c r="H134" i="58"/>
  <c r="H133" i="58"/>
  <c r="H132" i="58"/>
  <c r="G131" i="58"/>
  <c r="H131" i="58" s="1"/>
  <c r="F131" i="58"/>
  <c r="E131" i="58"/>
  <c r="F130" i="58"/>
  <c r="E130" i="58"/>
  <c r="H129" i="58"/>
  <c r="H128" i="58"/>
  <c r="H127" i="58"/>
  <c r="H126" i="58"/>
  <c r="H125" i="58"/>
  <c r="H124" i="58"/>
  <c r="E124" i="58"/>
  <c r="G122" i="58"/>
  <c r="F122" i="58"/>
  <c r="E122" i="58"/>
  <c r="E107" i="58" s="1"/>
  <c r="H121" i="58"/>
  <c r="H120" i="58"/>
  <c r="H119" i="58"/>
  <c r="H118" i="58"/>
  <c r="H117" i="58"/>
  <c r="H110" i="58"/>
  <c r="H108" i="58"/>
  <c r="G108" i="58"/>
  <c r="F108" i="58"/>
  <c r="E108" i="58"/>
  <c r="G107" i="58"/>
  <c r="H104" i="58"/>
  <c r="H103" i="58"/>
  <c r="G103" i="58"/>
  <c r="F103" i="58"/>
  <c r="E103" i="58"/>
  <c r="H102" i="58"/>
  <c r="G102" i="58"/>
  <c r="F102" i="58"/>
  <c r="E102" i="58"/>
  <c r="H100" i="58"/>
  <c r="H99" i="58"/>
  <c r="H98" i="58"/>
  <c r="H97" i="58"/>
  <c r="G97" i="58"/>
  <c r="F97" i="58"/>
  <c r="E97" i="58"/>
  <c r="H96" i="58"/>
  <c r="G96" i="58"/>
  <c r="F96" i="58"/>
  <c r="E96" i="58"/>
  <c r="H95" i="58"/>
  <c r="H94" i="58"/>
  <c r="G94" i="58"/>
  <c r="F94" i="58"/>
  <c r="E94" i="58"/>
  <c r="H92" i="58"/>
  <c r="G92" i="58"/>
  <c r="F92" i="58"/>
  <c r="E92" i="58"/>
  <c r="H90" i="58"/>
  <c r="H89" i="58"/>
  <c r="H88" i="58"/>
  <c r="H87" i="58"/>
  <c r="H86" i="58"/>
  <c r="H85" i="58"/>
  <c r="H83" i="58"/>
  <c r="H81" i="58"/>
  <c r="G81" i="58"/>
  <c r="F81" i="58"/>
  <c r="E81" i="58"/>
  <c r="H80" i="58"/>
  <c r="G80" i="58"/>
  <c r="F80" i="58"/>
  <c r="E80" i="58"/>
  <c r="H78" i="58"/>
  <c r="H77" i="58"/>
  <c r="G77" i="58"/>
  <c r="F77" i="58"/>
  <c r="H76" i="58"/>
  <c r="H75" i="58"/>
  <c r="H74" i="58"/>
  <c r="G73" i="58"/>
  <c r="H73" i="58" s="1"/>
  <c r="F73" i="58"/>
  <c r="E73" i="58"/>
  <c r="F72" i="58"/>
  <c r="E72" i="58"/>
  <c r="F71" i="58"/>
  <c r="E71" i="58"/>
  <c r="H69" i="58"/>
  <c r="H68" i="58"/>
  <c r="G68" i="58"/>
  <c r="F68" i="58"/>
  <c r="E68" i="58"/>
  <c r="H67" i="58"/>
  <c r="G67" i="58"/>
  <c r="F67" i="58"/>
  <c r="E67" i="58"/>
  <c r="H66" i="58"/>
  <c r="G66" i="58"/>
  <c r="F66" i="58"/>
  <c r="E66" i="58"/>
  <c r="H64" i="58"/>
  <c r="H63" i="58"/>
  <c r="G62" i="58"/>
  <c r="H62" i="58" s="1"/>
  <c r="F62" i="58"/>
  <c r="E62" i="58"/>
  <c r="G61" i="58"/>
  <c r="F61" i="58"/>
  <c r="F60" i="58" s="1"/>
  <c r="E61" i="58"/>
  <c r="G60" i="58"/>
  <c r="E60" i="58"/>
  <c r="H58" i="58"/>
  <c r="H57" i="58"/>
  <c r="H55" i="58"/>
  <c r="G55" i="58"/>
  <c r="F55" i="58"/>
  <c r="E55" i="58"/>
  <c r="H54" i="58"/>
  <c r="G54" i="58"/>
  <c r="F54" i="58"/>
  <c r="E54" i="58"/>
  <c r="H52" i="58"/>
  <c r="H51" i="58"/>
  <c r="G51" i="58"/>
  <c r="F51" i="58"/>
  <c r="E51" i="58"/>
  <c r="H50" i="58"/>
  <c r="G50" i="58"/>
  <c r="F50" i="58"/>
  <c r="E50" i="58"/>
  <c r="H45" i="58"/>
  <c r="G44" i="58"/>
  <c r="F44" i="58"/>
  <c r="F43" i="58" s="1"/>
  <c r="E44" i="58"/>
  <c r="G43" i="58"/>
  <c r="E43" i="58"/>
  <c r="H41" i="58"/>
  <c r="H40" i="58"/>
  <c r="H38" i="58"/>
  <c r="G38" i="58"/>
  <c r="F38" i="58"/>
  <c r="E38" i="58"/>
  <c r="H37" i="58"/>
  <c r="G37" i="58"/>
  <c r="F37" i="58"/>
  <c r="E37" i="58"/>
  <c r="H36" i="58"/>
  <c r="H33" i="58"/>
  <c r="G33" i="58"/>
  <c r="G619" i="58" s="1"/>
  <c r="F33" i="58"/>
  <c r="E33" i="58"/>
  <c r="H30" i="58"/>
  <c r="G29" i="58"/>
  <c r="F29" i="58"/>
  <c r="F28" i="58" s="1"/>
  <c r="E29" i="58"/>
  <c r="G28" i="58"/>
  <c r="G26" i="58"/>
  <c r="F26" i="58"/>
  <c r="E26" i="58"/>
  <c r="G20" i="58"/>
  <c r="F20" i="58"/>
  <c r="E20" i="58"/>
  <c r="G19" i="58"/>
  <c r="G10" i="58" s="1"/>
  <c r="F19" i="58"/>
  <c r="H17" i="58"/>
  <c r="H14" i="58"/>
  <c r="H12" i="58"/>
  <c r="G12" i="58"/>
  <c r="F12" i="58"/>
  <c r="E12" i="58"/>
  <c r="H11" i="58"/>
  <c r="G11" i="58"/>
  <c r="F11" i="58"/>
  <c r="E11" i="58"/>
  <c r="H1647" i="59" l="1"/>
  <c r="H1200" i="59"/>
  <c r="J124" i="61"/>
  <c r="I126" i="61" s="1"/>
  <c r="I7" i="61"/>
  <c r="H7" i="61"/>
  <c r="G8" i="61"/>
  <c r="G7" i="61" s="1"/>
  <c r="H46" i="61"/>
  <c r="I45" i="61"/>
  <c r="H56" i="61"/>
  <c r="I55" i="61"/>
  <c r="G31" i="61"/>
  <c r="H30" i="61"/>
  <c r="G89" i="61"/>
  <c r="O89" i="61" s="1"/>
  <c r="O92" i="61"/>
  <c r="G53" i="60"/>
  <c r="H53" i="60" s="1"/>
  <c r="H40" i="60"/>
  <c r="H307" i="59"/>
  <c r="F302" i="59"/>
  <c r="G389" i="59"/>
  <c r="H402" i="59"/>
  <c r="E408" i="59"/>
  <c r="G205" i="59"/>
  <c r="G316" i="59"/>
  <c r="H317" i="59"/>
  <c r="H411" i="59"/>
  <c r="F410" i="59"/>
  <c r="F409" i="59" s="1"/>
  <c r="F408" i="59" s="1"/>
  <c r="H435" i="59"/>
  <c r="H434" i="59"/>
  <c r="G433" i="59"/>
  <c r="H433" i="59" s="1"/>
  <c r="F280" i="59"/>
  <c r="H285" i="59"/>
  <c r="G71" i="59"/>
  <c r="H72" i="59"/>
  <c r="H374" i="59"/>
  <c r="F373" i="59"/>
  <c r="G385" i="59"/>
  <c r="H385" i="59" s="1"/>
  <c r="H386" i="59"/>
  <c r="H571" i="59"/>
  <c r="F556" i="59"/>
  <c r="E1007" i="59"/>
  <c r="G11" i="59"/>
  <c r="F102" i="59"/>
  <c r="G151" i="59"/>
  <c r="G259" i="59"/>
  <c r="G282" i="59"/>
  <c r="F391" i="59"/>
  <c r="H1136" i="59"/>
  <c r="H1328" i="59"/>
  <c r="G1327" i="59"/>
  <c r="H1327" i="59" s="1"/>
  <c r="H1435" i="59"/>
  <c r="F1434" i="59"/>
  <c r="F1433" i="59" s="1"/>
  <c r="F1432" i="59" s="1"/>
  <c r="H1763" i="59"/>
  <c r="G1756" i="59"/>
  <c r="G2068" i="59"/>
  <c r="H2068" i="59" s="1"/>
  <c r="E2075" i="59"/>
  <c r="F2070" i="59"/>
  <c r="H2070" i="59" s="1"/>
  <c r="F2076" i="59"/>
  <c r="H2071" i="59"/>
  <c r="E2069" i="59"/>
  <c r="G155" i="59"/>
  <c r="F207" i="59"/>
  <c r="F206" i="59" s="1"/>
  <c r="F205" i="59" s="1"/>
  <c r="H227" i="59"/>
  <c r="H325" i="59"/>
  <c r="H353" i="59"/>
  <c r="G373" i="59"/>
  <c r="H387" i="59"/>
  <c r="H406" i="59"/>
  <c r="G410" i="59"/>
  <c r="H450" i="59"/>
  <c r="G473" i="59"/>
  <c r="G477" i="59"/>
  <c r="H477" i="59" s="1"/>
  <c r="F519" i="59"/>
  <c r="F518" i="59" s="1"/>
  <c r="F517" i="59" s="1"/>
  <c r="F481" i="59" s="1"/>
  <c r="E544" i="59"/>
  <c r="H761" i="59"/>
  <c r="G755" i="59"/>
  <c r="G841" i="59"/>
  <c r="H853" i="59"/>
  <c r="G846" i="59"/>
  <c r="G863" i="59"/>
  <c r="F977" i="59"/>
  <c r="G1004" i="59"/>
  <c r="G1014" i="59"/>
  <c r="H1022" i="59"/>
  <c r="G1044" i="59"/>
  <c r="H1368" i="59"/>
  <c r="G1367" i="59"/>
  <c r="H1548" i="59"/>
  <c r="F1486" i="59"/>
  <c r="J2076" i="59"/>
  <c r="F134" i="59"/>
  <c r="H134" i="59" s="1"/>
  <c r="E630" i="59"/>
  <c r="H1037" i="59"/>
  <c r="F1013" i="59"/>
  <c r="F1012" i="59" s="1"/>
  <c r="H1243" i="59"/>
  <c r="G1242" i="59"/>
  <c r="H1242" i="59" s="1"/>
  <c r="H1278" i="59"/>
  <c r="G1277" i="59"/>
  <c r="G2076" i="59"/>
  <c r="H2076" i="59" s="1"/>
  <c r="H103" i="59"/>
  <c r="H156" i="59"/>
  <c r="H286" i="59"/>
  <c r="H308" i="59"/>
  <c r="H375" i="59"/>
  <c r="H412" i="59"/>
  <c r="H454" i="59"/>
  <c r="H527" i="59"/>
  <c r="G519" i="59"/>
  <c r="H572" i="59"/>
  <c r="H624" i="59"/>
  <c r="H695" i="59"/>
  <c r="F663" i="59"/>
  <c r="F662" i="59" s="1"/>
  <c r="G766" i="59"/>
  <c r="H770" i="59"/>
  <c r="H1135" i="59"/>
  <c r="H1137" i="59"/>
  <c r="H1384" i="59"/>
  <c r="G1383" i="59"/>
  <c r="G1412" i="59"/>
  <c r="F1414" i="59"/>
  <c r="F1413" i="59" s="1"/>
  <c r="F1412" i="59" s="1"/>
  <c r="H1418" i="59"/>
  <c r="H1926" i="59"/>
  <c r="F1925" i="59"/>
  <c r="E2076" i="59"/>
  <c r="H492" i="59"/>
  <c r="G484" i="59"/>
  <c r="E518" i="59"/>
  <c r="E517" i="59" s="1"/>
  <c r="E481" i="59" s="1"/>
  <c r="G665" i="59"/>
  <c r="G2067" i="59" s="1"/>
  <c r="H666" i="59"/>
  <c r="H948" i="59"/>
  <c r="F942" i="59"/>
  <c r="F941" i="59" s="1"/>
  <c r="F940" i="59" s="1"/>
  <c r="F939" i="59" s="1"/>
  <c r="F1206" i="59"/>
  <c r="F1205" i="59" s="1"/>
  <c r="F1204" i="59" s="1"/>
  <c r="H1214" i="59"/>
  <c r="H1272" i="59"/>
  <c r="G1271" i="59"/>
  <c r="E2067" i="59"/>
  <c r="H19" i="59"/>
  <c r="E46" i="59"/>
  <c r="E45" i="59" s="1"/>
  <c r="E8" i="59" s="1"/>
  <c r="F2069" i="59"/>
  <c r="F11" i="59"/>
  <c r="F10" i="59" s="1"/>
  <c r="F9" i="59" s="1"/>
  <c r="F2067" i="59"/>
  <c r="F2066" i="59" s="1"/>
  <c r="E2068" i="59"/>
  <c r="H68" i="59"/>
  <c r="E2071" i="59"/>
  <c r="G2069" i="59"/>
  <c r="H2069" i="59" s="1"/>
  <c r="G591" i="59"/>
  <c r="F765" i="59"/>
  <c r="F764" i="59" s="1"/>
  <c r="G926" i="59"/>
  <c r="G941" i="59"/>
  <c r="H953" i="59"/>
  <c r="F956" i="59"/>
  <c r="G973" i="59"/>
  <c r="F1061" i="59"/>
  <c r="F1132" i="59"/>
  <c r="H1132" i="59" s="1"/>
  <c r="H1556" i="59"/>
  <c r="F1555" i="59"/>
  <c r="H1913" i="59"/>
  <c r="F1912" i="59"/>
  <c r="G633" i="59"/>
  <c r="E2077" i="59"/>
  <c r="G1084" i="59"/>
  <c r="H1263" i="59"/>
  <c r="G1257" i="59"/>
  <c r="H1325" i="59"/>
  <c r="G1316" i="59"/>
  <c r="E1341" i="59"/>
  <c r="H1374" i="59"/>
  <c r="G1442" i="59"/>
  <c r="H1447" i="59"/>
  <c r="G1487" i="59"/>
  <c r="H1495" i="59"/>
  <c r="H1739" i="59"/>
  <c r="F1740" i="59"/>
  <c r="F1739" i="59" s="1"/>
  <c r="F1732" i="59" s="1"/>
  <c r="H1744" i="59"/>
  <c r="E1792" i="59"/>
  <c r="H1990" i="59"/>
  <c r="F1989" i="59"/>
  <c r="F2077" i="59"/>
  <c r="H1206" i="59"/>
  <c r="F1383" i="59"/>
  <c r="F1382" i="59" s="1"/>
  <c r="H1388" i="59"/>
  <c r="F1420" i="59"/>
  <c r="H1562" i="59"/>
  <c r="G1555" i="59"/>
  <c r="E1681" i="59"/>
  <c r="H1736" i="59"/>
  <c r="G1735" i="59"/>
  <c r="H1813" i="59"/>
  <c r="G1812" i="59"/>
  <c r="H1858" i="59"/>
  <c r="F1857" i="59"/>
  <c r="H1903" i="59"/>
  <c r="F1902" i="59"/>
  <c r="G645" i="59"/>
  <c r="F926" i="59"/>
  <c r="F861" i="59" s="1"/>
  <c r="G2077" i="59"/>
  <c r="H2077" i="59" s="1"/>
  <c r="F1277" i="59"/>
  <c r="F1276" i="59" s="1"/>
  <c r="F1317" i="59"/>
  <c r="E1314" i="59"/>
  <c r="G1343" i="59"/>
  <c r="H1348" i="59"/>
  <c r="F1370" i="59"/>
  <c r="G1399" i="59"/>
  <c r="G1429" i="59"/>
  <c r="H1659" i="59"/>
  <c r="F1651" i="59"/>
  <c r="H1847" i="59"/>
  <c r="G1846" i="59"/>
  <c r="G1567" i="59"/>
  <c r="H1823" i="59"/>
  <c r="G1817" i="59"/>
  <c r="H1740" i="59"/>
  <c r="G1870" i="59"/>
  <c r="H1870" i="59" s="1"/>
  <c r="H1876" i="59"/>
  <c r="H2037" i="59"/>
  <c r="H2055" i="59"/>
  <c r="G1683" i="59"/>
  <c r="H1780" i="59"/>
  <c r="G1862" i="59"/>
  <c r="H1867" i="59"/>
  <c r="F1880" i="59"/>
  <c r="G1892" i="59"/>
  <c r="H1893" i="59"/>
  <c r="G1921" i="59"/>
  <c r="F1931" i="59"/>
  <c r="H1931" i="59" s="1"/>
  <c r="H1948" i="59"/>
  <c r="E1988" i="59"/>
  <c r="E1987" i="59" s="1"/>
  <c r="E1986" i="59" s="1"/>
  <c r="H2036" i="59"/>
  <c r="G2041" i="59"/>
  <c r="H2046" i="59"/>
  <c r="H2073" i="59"/>
  <c r="G1798" i="59"/>
  <c r="G1836" i="59"/>
  <c r="F10" i="58"/>
  <c r="H10" i="58"/>
  <c r="H60" i="58"/>
  <c r="E199" i="58"/>
  <c r="E554" i="58"/>
  <c r="E618" i="58"/>
  <c r="E19" i="58"/>
  <c r="E28" i="58"/>
  <c r="E10" i="58" s="1"/>
  <c r="H44" i="58"/>
  <c r="G200" i="58"/>
  <c r="H231" i="58"/>
  <c r="H253" i="58"/>
  <c r="G274" i="58"/>
  <c r="H274" i="58" s="1"/>
  <c r="H315" i="58"/>
  <c r="G331" i="58"/>
  <c r="H331" i="58" s="1"/>
  <c r="H352" i="58"/>
  <c r="G370" i="58"/>
  <c r="H370" i="58" s="1"/>
  <c r="H383" i="58"/>
  <c r="F401" i="58"/>
  <c r="H210" i="58"/>
  <c r="H298" i="58"/>
  <c r="E79" i="58"/>
  <c r="G156" i="58"/>
  <c r="H156" i="58" s="1"/>
  <c r="E156" i="58"/>
  <c r="G247" i="58"/>
  <c r="H247" i="58" s="1"/>
  <c r="H250" i="58"/>
  <c r="H252" i="58"/>
  <c r="H314" i="58"/>
  <c r="H402" i="58"/>
  <c r="G401" i="58"/>
  <c r="H28" i="58"/>
  <c r="H122" i="58"/>
  <c r="F107" i="58"/>
  <c r="F619" i="58"/>
  <c r="H43" i="58"/>
  <c r="G618" i="58"/>
  <c r="H29" i="58"/>
  <c r="H619" i="58"/>
  <c r="H61" i="58"/>
  <c r="G72" i="58"/>
  <c r="G130" i="58"/>
  <c r="H165" i="58"/>
  <c r="F211" i="58"/>
  <c r="F210" i="58" s="1"/>
  <c r="F199" i="58" s="1"/>
  <c r="H216" i="58"/>
  <c r="H230" i="58"/>
  <c r="H299" i="58"/>
  <c r="G310" i="58"/>
  <c r="G318" i="58"/>
  <c r="H318" i="58" s="1"/>
  <c r="H324" i="58"/>
  <c r="E324" i="58"/>
  <c r="E318" i="58" s="1"/>
  <c r="E297" i="58" s="1"/>
  <c r="G347" i="58"/>
  <c r="H347" i="58" s="1"/>
  <c r="G379" i="58"/>
  <c r="H379" i="58" s="1"/>
  <c r="H528" i="58"/>
  <c r="F554" i="58"/>
  <c r="G458" i="58"/>
  <c r="H458" i="58" s="1"/>
  <c r="H403" i="58"/>
  <c r="H351" i="58"/>
  <c r="G554" i="58"/>
  <c r="G490" i="58"/>
  <c r="H533" i="58"/>
  <c r="H55" i="61" l="1"/>
  <c r="G56" i="61"/>
  <c r="I124" i="61"/>
  <c r="H126" i="61" s="1"/>
  <c r="G30" i="61"/>
  <c r="O30" i="61" s="1"/>
  <c r="O31" i="61"/>
  <c r="H45" i="61"/>
  <c r="H124" i="61" s="1"/>
  <c r="G46" i="61"/>
  <c r="O7" i="61"/>
  <c r="H2067" i="59"/>
  <c r="G2066" i="59"/>
  <c r="F630" i="59"/>
  <c r="H1846" i="59"/>
  <c r="G1845" i="59"/>
  <c r="F390" i="59"/>
  <c r="H391" i="59"/>
  <c r="F555" i="59"/>
  <c r="H555" i="59" s="1"/>
  <c r="H556" i="59"/>
  <c r="G70" i="59"/>
  <c r="H70" i="59" s="1"/>
  <c r="H71" i="59"/>
  <c r="G1835" i="59"/>
  <c r="H1836" i="59"/>
  <c r="H2041" i="59"/>
  <c r="G2040" i="59"/>
  <c r="H1880" i="59"/>
  <c r="F1879" i="59"/>
  <c r="G1682" i="59"/>
  <c r="H1683" i="59"/>
  <c r="H1817" i="59"/>
  <c r="G1816" i="59"/>
  <c r="H1399" i="59"/>
  <c r="G1398" i="59"/>
  <c r="H1398" i="59" s="1"/>
  <c r="H1902" i="59"/>
  <c r="F1901" i="59"/>
  <c r="H1901" i="59" s="1"/>
  <c r="H1812" i="59"/>
  <c r="G1811" i="59"/>
  <c r="H1811" i="59" s="1"/>
  <c r="H1414" i="59"/>
  <c r="G1486" i="59"/>
  <c r="H1486" i="59" s="1"/>
  <c r="H1487" i="59"/>
  <c r="H633" i="59"/>
  <c r="G632" i="59"/>
  <c r="H973" i="59"/>
  <c r="G972" i="59"/>
  <c r="H926" i="59"/>
  <c r="F2065" i="59"/>
  <c r="F2075" i="59"/>
  <c r="F2074" i="59" s="1"/>
  <c r="G483" i="59"/>
  <c r="H484" i="59"/>
  <c r="H1925" i="59"/>
  <c r="F1924" i="59"/>
  <c r="H1924" i="59" s="1"/>
  <c r="H1412" i="59"/>
  <c r="H766" i="59"/>
  <c r="G765" i="59"/>
  <c r="H942" i="59"/>
  <c r="G998" i="59"/>
  <c r="H1004" i="59"/>
  <c r="H373" i="59"/>
  <c r="H1756" i="59"/>
  <c r="G1755" i="59"/>
  <c r="G281" i="59"/>
  <c r="H282" i="59"/>
  <c r="H11" i="59"/>
  <c r="G10" i="59"/>
  <c r="G315" i="59"/>
  <c r="H315" i="59" s="1"/>
  <c r="H316" i="59"/>
  <c r="F1082" i="59"/>
  <c r="H1892" i="59"/>
  <c r="G1891" i="59"/>
  <c r="H1271" i="59"/>
  <c r="G1270" i="59"/>
  <c r="H1270" i="59" s="1"/>
  <c r="G1362" i="59"/>
  <c r="H1362" i="59" s="1"/>
  <c r="H1367" i="59"/>
  <c r="G1013" i="59"/>
  <c r="H1014" i="59"/>
  <c r="H846" i="59"/>
  <c r="G845" i="59"/>
  <c r="H473" i="59"/>
  <c r="G457" i="59"/>
  <c r="H102" i="59"/>
  <c r="F101" i="59"/>
  <c r="H101" i="59" s="1"/>
  <c r="G1797" i="59"/>
  <c r="H1798" i="59"/>
  <c r="G1915" i="59"/>
  <c r="H1915" i="59" s="1"/>
  <c r="H1921" i="59"/>
  <c r="F1650" i="59"/>
  <c r="H1650" i="59" s="1"/>
  <c r="H1651" i="59"/>
  <c r="H1370" i="59"/>
  <c r="F1341" i="59"/>
  <c r="H1317" i="59"/>
  <c r="F1316" i="59"/>
  <c r="F1315" i="59" s="1"/>
  <c r="F1314" i="59" s="1"/>
  <c r="G644" i="59"/>
  <c r="H645" i="59"/>
  <c r="H1555" i="59"/>
  <c r="H1989" i="59"/>
  <c r="F1988" i="59"/>
  <c r="G1315" i="59"/>
  <c r="H1084" i="59"/>
  <c r="G1083" i="59"/>
  <c r="H1912" i="59"/>
  <c r="F1906" i="59"/>
  <c r="H1906" i="59" s="1"/>
  <c r="G1204" i="59"/>
  <c r="H1204" i="59" s="1"/>
  <c r="H956" i="59"/>
  <c r="F8" i="59"/>
  <c r="H1413" i="59"/>
  <c r="G518" i="59"/>
  <c r="H519" i="59"/>
  <c r="H1277" i="59"/>
  <c r="G1276" i="59"/>
  <c r="H1276" i="59" s="1"/>
  <c r="H1205" i="59"/>
  <c r="H1044" i="59"/>
  <c r="G1043" i="59"/>
  <c r="H1043" i="59" s="1"/>
  <c r="F972" i="59"/>
  <c r="F955" i="59" s="1"/>
  <c r="H977" i="59"/>
  <c r="G828" i="59"/>
  <c r="H828" i="59" s="1"/>
  <c r="H841" i="59"/>
  <c r="H410" i="59"/>
  <c r="G409" i="59"/>
  <c r="H155" i="59"/>
  <c r="G154" i="59"/>
  <c r="H154" i="59" s="1"/>
  <c r="G258" i="59"/>
  <c r="H259" i="59"/>
  <c r="H207" i="59"/>
  <c r="H205" i="59"/>
  <c r="H302" i="59"/>
  <c r="F301" i="59"/>
  <c r="H301" i="59" s="1"/>
  <c r="G1425" i="59"/>
  <c r="H1429" i="59"/>
  <c r="G1342" i="59"/>
  <c r="H1343" i="59"/>
  <c r="G1256" i="59"/>
  <c r="H1257" i="59"/>
  <c r="H1061" i="59"/>
  <c r="F1060" i="59"/>
  <c r="H1060" i="59" s="1"/>
  <c r="H941" i="59"/>
  <c r="G940" i="59"/>
  <c r="H1862" i="59"/>
  <c r="G1861" i="59"/>
  <c r="H1567" i="59"/>
  <c r="G1566" i="59"/>
  <c r="F1845" i="59"/>
  <c r="F1792" i="59" s="1"/>
  <c r="H1857" i="59"/>
  <c r="H1735" i="59"/>
  <c r="G1734" i="59"/>
  <c r="H1442" i="59"/>
  <c r="G1434" i="59"/>
  <c r="H591" i="59"/>
  <c r="G586" i="59"/>
  <c r="H586" i="59" s="1"/>
  <c r="G2075" i="59"/>
  <c r="E2066" i="59"/>
  <c r="E2065" i="59" s="1"/>
  <c r="H665" i="59"/>
  <c r="G664" i="59"/>
  <c r="H1383" i="59"/>
  <c r="G1382" i="59"/>
  <c r="H1382" i="59" s="1"/>
  <c r="F1007" i="59"/>
  <c r="H863" i="59"/>
  <c r="G862" i="59"/>
  <c r="H755" i="59"/>
  <c r="G754" i="59"/>
  <c r="E2074" i="59"/>
  <c r="G150" i="59"/>
  <c r="H150" i="59" s="1"/>
  <c r="H151" i="59"/>
  <c r="H206" i="59"/>
  <c r="G79" i="58"/>
  <c r="H130" i="58"/>
  <c r="G341" i="58"/>
  <c r="H341" i="58" s="1"/>
  <c r="F618" i="58"/>
  <c r="H618" i="58" s="1"/>
  <c r="H211" i="58"/>
  <c r="E616" i="58"/>
  <c r="F79" i="58"/>
  <c r="H107" i="58"/>
  <c r="E619" i="58"/>
  <c r="G470" i="58"/>
  <c r="H470" i="58" s="1"/>
  <c r="H490" i="58"/>
  <c r="H72" i="58"/>
  <c r="G71" i="58"/>
  <c r="H71" i="58" s="1"/>
  <c r="H554" i="58"/>
  <c r="G444" i="58"/>
  <c r="H444" i="58" s="1"/>
  <c r="H310" i="58"/>
  <c r="G297" i="58"/>
  <c r="H297" i="58" s="1"/>
  <c r="H200" i="58"/>
  <c r="G199" i="58"/>
  <c r="H199" i="58" s="1"/>
  <c r="H401" i="58"/>
  <c r="F616" i="58"/>
  <c r="G129" i="61" l="1"/>
  <c r="G127" i="61"/>
  <c r="G55" i="61"/>
  <c r="O55" i="61" s="1"/>
  <c r="O56" i="61"/>
  <c r="G45" i="61"/>
  <c r="O46" i="61"/>
  <c r="G257" i="59"/>
  <c r="H258" i="59"/>
  <c r="H2040" i="59"/>
  <c r="G2039" i="59"/>
  <c r="H1434" i="59"/>
  <c r="G1433" i="59"/>
  <c r="G1255" i="59"/>
  <c r="H1255" i="59" s="1"/>
  <c r="H1256" i="59"/>
  <c r="H1425" i="59"/>
  <c r="H1315" i="59"/>
  <c r="G1314" i="59"/>
  <c r="H1314" i="59" s="1"/>
  <c r="H457" i="59"/>
  <c r="G456" i="59"/>
  <c r="H456" i="59" s="1"/>
  <c r="H10" i="59"/>
  <c r="G9" i="59"/>
  <c r="H1755" i="59"/>
  <c r="G1754" i="59"/>
  <c r="H1754" i="59" s="1"/>
  <c r="G993" i="59"/>
  <c r="H993" i="59" s="1"/>
  <c r="H998" i="59"/>
  <c r="G482" i="59"/>
  <c r="H483" i="59"/>
  <c r="H972" i="59"/>
  <c r="G955" i="59"/>
  <c r="H955" i="59" s="1"/>
  <c r="G1681" i="59"/>
  <c r="H1681" i="59" s="1"/>
  <c r="H1682" i="59"/>
  <c r="F389" i="59"/>
  <c r="H390" i="59"/>
  <c r="G643" i="59"/>
  <c r="H643" i="59" s="1"/>
  <c r="H644" i="59"/>
  <c r="H1861" i="59"/>
  <c r="H862" i="59"/>
  <c r="G861" i="59"/>
  <c r="H861" i="59" s="1"/>
  <c r="H1316" i="59"/>
  <c r="H1797" i="59"/>
  <c r="G1012" i="59"/>
  <c r="H1013" i="59"/>
  <c r="H1816" i="59"/>
  <c r="G1815" i="59"/>
  <c r="H1815" i="59" s="1"/>
  <c r="H1879" i="59"/>
  <c r="F1860" i="59"/>
  <c r="H1845" i="59"/>
  <c r="H2066" i="59"/>
  <c r="G2065" i="59"/>
  <c r="H754" i="59"/>
  <c r="G753" i="59"/>
  <c r="H753" i="59" s="1"/>
  <c r="G280" i="59"/>
  <c r="H280" i="59" s="1"/>
  <c r="H281" i="59"/>
  <c r="H2075" i="59"/>
  <c r="G2074" i="59"/>
  <c r="H2074" i="59" s="1"/>
  <c r="H664" i="59"/>
  <c r="G663" i="59"/>
  <c r="H1734" i="59"/>
  <c r="G1733" i="59"/>
  <c r="H1566" i="59"/>
  <c r="G1565" i="59"/>
  <c r="H940" i="59"/>
  <c r="G939" i="59"/>
  <c r="H939" i="59" s="1"/>
  <c r="F1554" i="59"/>
  <c r="G1341" i="59"/>
  <c r="H1341" i="59" s="1"/>
  <c r="H1342" i="59"/>
  <c r="H409" i="59"/>
  <c r="G408" i="59"/>
  <c r="H408" i="59" s="1"/>
  <c r="G517" i="59"/>
  <c r="H517" i="59" s="1"/>
  <c r="H518" i="59"/>
  <c r="H1083" i="59"/>
  <c r="G1082" i="59"/>
  <c r="H1082" i="59" s="1"/>
  <c r="F1987" i="59"/>
  <c r="H1988" i="59"/>
  <c r="H845" i="59"/>
  <c r="G844" i="59"/>
  <c r="H844" i="59" s="1"/>
  <c r="H1891" i="59"/>
  <c r="G1884" i="59"/>
  <c r="H1884" i="59" s="1"/>
  <c r="H765" i="59"/>
  <c r="G764" i="59"/>
  <c r="H764" i="59" s="1"/>
  <c r="I2070" i="59"/>
  <c r="H632" i="59"/>
  <c r="G631" i="59"/>
  <c r="G1834" i="59"/>
  <c r="H1834" i="59" s="1"/>
  <c r="H1835" i="59"/>
  <c r="H79" i="58"/>
  <c r="G616" i="58"/>
  <c r="H616" i="58" s="1"/>
  <c r="O45" i="61" l="1"/>
  <c r="G124" i="61"/>
  <c r="O124" i="61" s="1"/>
  <c r="H2039" i="59"/>
  <c r="G2034" i="59"/>
  <c r="H2034" i="59" s="1"/>
  <c r="F1986" i="59"/>
  <c r="H1986" i="59" s="1"/>
  <c r="H1987" i="59"/>
  <c r="H1565" i="59"/>
  <c r="G1554" i="59"/>
  <c r="H1554" i="59" s="1"/>
  <c r="H663" i="59"/>
  <c r="G662" i="59"/>
  <c r="H662" i="59" s="1"/>
  <c r="I2067" i="59"/>
  <c r="H2065" i="59"/>
  <c r="G1007" i="59"/>
  <c r="H1007" i="59" s="1"/>
  <c r="H1012" i="59"/>
  <c r="F256" i="59"/>
  <c r="F2062" i="59" s="1"/>
  <c r="H389" i="59"/>
  <c r="G481" i="59"/>
  <c r="H481" i="59" s="1"/>
  <c r="H482" i="59"/>
  <c r="H1433" i="59"/>
  <c r="G1432" i="59"/>
  <c r="H631" i="59"/>
  <c r="G630" i="59"/>
  <c r="H630" i="59" s="1"/>
  <c r="H1733" i="59"/>
  <c r="G1732" i="59"/>
  <c r="H1732" i="59" s="1"/>
  <c r="G1792" i="59"/>
  <c r="H1792" i="59" s="1"/>
  <c r="G1860" i="59"/>
  <c r="H1860" i="59" s="1"/>
  <c r="H9" i="59"/>
  <c r="G8" i="59"/>
  <c r="H257" i="59"/>
  <c r="G256" i="59"/>
  <c r="H256" i="59" s="1"/>
  <c r="H8" i="59" l="1"/>
  <c r="H1432" i="59"/>
  <c r="G1420" i="59"/>
  <c r="H1420" i="59" s="1"/>
  <c r="G2062" i="59" l="1"/>
  <c r="H2062" i="59" s="1"/>
  <c r="F75" i="52" l="1"/>
  <c r="F76" i="52"/>
  <c r="F77" i="52"/>
  <c r="G76" i="52"/>
  <c r="H76" i="52"/>
  <c r="F79" i="52"/>
  <c r="F78" i="52" s="1"/>
  <c r="H78" i="52"/>
  <c r="G78" i="52"/>
  <c r="F81" i="52"/>
  <c r="F80" i="52" s="1"/>
  <c r="G80" i="52"/>
  <c r="H80" i="52"/>
  <c r="E68" i="52" l="1"/>
  <c r="G68" i="52"/>
  <c r="H68" i="52"/>
  <c r="F69" i="52"/>
  <c r="E70" i="52"/>
  <c r="G70" i="52"/>
  <c r="H70" i="52"/>
  <c r="F71" i="52"/>
  <c r="E72" i="52"/>
  <c r="G72" i="52"/>
  <c r="H72" i="52"/>
  <c r="F73" i="52"/>
  <c r="F74" i="52"/>
  <c r="F64" i="52"/>
  <c r="F61" i="52"/>
  <c r="F60" i="52"/>
  <c r="E59" i="52"/>
  <c r="H59" i="52"/>
  <c r="G59" i="52"/>
  <c r="G57" i="52"/>
  <c r="H57" i="52"/>
  <c r="E57" i="52"/>
  <c r="E56" i="52" s="1"/>
  <c r="F58" i="52"/>
  <c r="G50" i="52"/>
  <c r="H50" i="52"/>
  <c r="E50" i="52"/>
  <c r="F52" i="52"/>
  <c r="G43" i="52"/>
  <c r="H43" i="52"/>
  <c r="E39" i="52"/>
  <c r="G39" i="52"/>
  <c r="G28" i="52"/>
  <c r="H28" i="52"/>
  <c r="E28" i="52"/>
  <c r="F30" i="52"/>
  <c r="E16" i="52"/>
  <c r="G16" i="52"/>
  <c r="H16" i="52"/>
  <c r="F18" i="52"/>
  <c r="F11" i="52"/>
  <c r="F12" i="52"/>
  <c r="F10" i="52"/>
  <c r="F9" i="52"/>
  <c r="H8" i="52"/>
  <c r="G8" i="52"/>
  <c r="E8" i="52"/>
  <c r="F70" i="52" l="1"/>
  <c r="F68" i="52"/>
  <c r="F43" i="52"/>
  <c r="F72" i="52"/>
  <c r="F59" i="52"/>
  <c r="H56" i="52"/>
  <c r="G56" i="52"/>
  <c r="F57" i="52"/>
  <c r="F56" i="52" s="1"/>
  <c r="F8" i="52"/>
  <c r="I21" i="57"/>
  <c r="I10" i="57" l="1"/>
  <c r="I11" i="57"/>
  <c r="I12" i="57"/>
  <c r="I13" i="57"/>
  <c r="I14" i="57"/>
  <c r="I15" i="57"/>
  <c r="I9" i="57"/>
  <c r="H7" i="51"/>
  <c r="H33" i="51"/>
  <c r="K33" i="51"/>
  <c r="J33" i="51"/>
  <c r="I33" i="51"/>
  <c r="F33" i="51"/>
  <c r="D20" i="47" l="1"/>
  <c r="D21" i="47"/>
  <c r="D10" i="47" l="1"/>
  <c r="H30" i="51" l="1"/>
  <c r="I29" i="51"/>
  <c r="K30" i="51"/>
  <c r="J30" i="51"/>
  <c r="I30" i="51"/>
  <c r="F30" i="51"/>
  <c r="E30" i="51"/>
  <c r="J10" i="51"/>
  <c r="K10" i="51"/>
  <c r="H10" i="51"/>
  <c r="F10" i="51"/>
  <c r="E10" i="51"/>
  <c r="K8" i="51" l="1"/>
  <c r="K7" i="51" s="1"/>
  <c r="J8" i="51"/>
  <c r="J7" i="51" s="1"/>
  <c r="I9" i="51"/>
  <c r="I8" i="51" s="1"/>
  <c r="F8" i="51"/>
  <c r="F7" i="51" s="1"/>
  <c r="G8" i="51"/>
  <c r="H8" i="51"/>
  <c r="E8" i="51"/>
  <c r="E7" i="51" s="1"/>
  <c r="E33" i="51" s="1"/>
  <c r="I11" i="51"/>
  <c r="I48" i="57" l="1"/>
  <c r="I47" i="57"/>
  <c r="I46" i="57"/>
  <c r="I45" i="57"/>
  <c r="K44" i="57"/>
  <c r="J44" i="57"/>
  <c r="H44" i="57"/>
  <c r="F44" i="57"/>
  <c r="E44" i="57"/>
  <c r="I43" i="57"/>
  <c r="K39" i="57"/>
  <c r="J39" i="57"/>
  <c r="J32" i="57" s="1"/>
  <c r="H39" i="57"/>
  <c r="F39" i="57"/>
  <c r="E39" i="57"/>
  <c r="I38" i="57"/>
  <c r="I37" i="57"/>
  <c r="I36" i="57"/>
  <c r="I35" i="57"/>
  <c r="I34" i="57"/>
  <c r="K33" i="57"/>
  <c r="J33" i="57"/>
  <c r="H33" i="57"/>
  <c r="H32" i="57" s="1"/>
  <c r="F33" i="57"/>
  <c r="E33" i="57"/>
  <c r="I31" i="57"/>
  <c r="I30" i="57" s="1"/>
  <c r="K30" i="57"/>
  <c r="J30" i="57"/>
  <c r="H30" i="57"/>
  <c r="I29" i="57"/>
  <c r="I28" i="57" s="1"/>
  <c r="K28" i="57"/>
  <c r="J28" i="57"/>
  <c r="H28" i="57"/>
  <c r="H27" i="57" s="1"/>
  <c r="F28" i="57"/>
  <c r="F27" i="57" s="1"/>
  <c r="E28" i="57"/>
  <c r="E27" i="57" s="1"/>
  <c r="I26" i="57"/>
  <c r="I25" i="57"/>
  <c r="I24" i="57"/>
  <c r="I23" i="57"/>
  <c r="K22" i="57"/>
  <c r="J22" i="57"/>
  <c r="H22" i="57"/>
  <c r="F22" i="57"/>
  <c r="E22" i="57"/>
  <c r="E20" i="57" s="1"/>
  <c r="I20" i="57"/>
  <c r="K20" i="57"/>
  <c r="J20" i="57"/>
  <c r="H20" i="57"/>
  <c r="H19" i="57" s="1"/>
  <c r="F20" i="57"/>
  <c r="K17" i="57"/>
  <c r="K16" i="57" s="1"/>
  <c r="J17" i="57"/>
  <c r="J16" i="57" s="1"/>
  <c r="I17" i="57"/>
  <c r="I16" i="57" s="1"/>
  <c r="H17" i="57"/>
  <c r="H16" i="57" s="1"/>
  <c r="F17" i="57"/>
  <c r="F16" i="57" s="1"/>
  <c r="E17" i="57"/>
  <c r="E16" i="57" s="1"/>
  <c r="K8" i="57"/>
  <c r="K7" i="57" s="1"/>
  <c r="J8" i="57"/>
  <c r="J7" i="57" s="1"/>
  <c r="I8" i="57"/>
  <c r="I7" i="57" s="1"/>
  <c r="H8" i="57"/>
  <c r="H7" i="57" s="1"/>
  <c r="F8" i="57"/>
  <c r="F7" i="57" s="1"/>
  <c r="E8" i="57"/>
  <c r="E7" i="57" s="1"/>
  <c r="K32" i="57" l="1"/>
  <c r="K49" i="57" s="1"/>
  <c r="K27" i="57"/>
  <c r="J27" i="57"/>
  <c r="K19" i="57"/>
  <c r="J19" i="57"/>
  <c r="I44" i="57"/>
  <c r="I27" i="57"/>
  <c r="F19" i="57"/>
  <c r="I22" i="57"/>
  <c r="I19" i="57" s="1"/>
  <c r="E19" i="57"/>
  <c r="I33" i="57"/>
  <c r="H49" i="57"/>
  <c r="E32" i="57"/>
  <c r="E49" i="57" s="1"/>
  <c r="F32" i="57"/>
  <c r="I32" i="57" l="1"/>
  <c r="I49" i="57" s="1"/>
  <c r="J49" i="57"/>
  <c r="K53" i="57" s="1"/>
  <c r="F49" i="57"/>
  <c r="I53" i="57" l="1"/>
  <c r="E63" i="52"/>
  <c r="G65" i="52"/>
  <c r="H65" i="52"/>
  <c r="E65" i="52"/>
  <c r="E76" i="52"/>
  <c r="E62" i="52"/>
  <c r="F63" i="52"/>
  <c r="H63" i="52"/>
  <c r="H62" i="52" s="1"/>
  <c r="G63" i="52"/>
  <c r="G62" i="52" l="1"/>
  <c r="E43" i="52"/>
  <c r="E42" i="52" s="1"/>
  <c r="F45" i="52"/>
  <c r="F44" i="52"/>
  <c r="G42" i="52"/>
  <c r="H42" i="52"/>
  <c r="F24" i="52"/>
  <c r="H23" i="52"/>
  <c r="G23" i="52"/>
  <c r="E23" i="52"/>
  <c r="F22" i="52"/>
  <c r="H21" i="52"/>
  <c r="G21" i="52"/>
  <c r="E21" i="52"/>
  <c r="H14" i="52"/>
  <c r="G14" i="52"/>
  <c r="E14" i="52"/>
  <c r="F21" i="52" l="1"/>
  <c r="F42" i="52"/>
  <c r="F23" i="52"/>
  <c r="F14" i="52"/>
  <c r="I12" i="51"/>
  <c r="O9" i="51"/>
  <c r="I18" i="51"/>
  <c r="J17" i="51"/>
  <c r="J16" i="51" s="1"/>
  <c r="H17" i="51"/>
  <c r="H16" i="51" s="1"/>
  <c r="F17" i="51"/>
  <c r="F16" i="51" s="1"/>
  <c r="E17" i="51"/>
  <c r="E16" i="51" s="1"/>
  <c r="K19" i="51"/>
  <c r="K20" i="51"/>
  <c r="K23" i="51"/>
  <c r="K22" i="51" s="1"/>
  <c r="I24" i="51"/>
  <c r="H23" i="51"/>
  <c r="F23" i="51"/>
  <c r="F22" i="51" s="1"/>
  <c r="E23" i="51"/>
  <c r="E22" i="51" s="1"/>
  <c r="K26" i="51"/>
  <c r="J26" i="51"/>
  <c r="I27" i="51"/>
  <c r="I26" i="51" s="1"/>
  <c r="H26" i="51"/>
  <c r="H25" i="51" s="1"/>
  <c r="E26" i="51"/>
  <c r="E25" i="51" s="1"/>
  <c r="E28" i="51"/>
  <c r="I32" i="51"/>
  <c r="I31" i="51"/>
  <c r="K28" i="51"/>
  <c r="J28" i="51"/>
  <c r="H28" i="51"/>
  <c r="F28" i="51"/>
  <c r="J23" i="51"/>
  <c r="J22" i="51" s="1"/>
  <c r="H22" i="51" l="1"/>
  <c r="I28" i="51"/>
  <c r="I23" i="51"/>
  <c r="I22" i="51" s="1"/>
  <c r="J20" i="51"/>
  <c r="I20" i="51" s="1"/>
  <c r="I19" i="51" s="1"/>
  <c r="H20" i="51"/>
  <c r="H19" i="51" s="1"/>
  <c r="F20" i="51"/>
  <c r="F19" i="51" s="1"/>
  <c r="E20" i="51"/>
  <c r="E19" i="51" s="1"/>
  <c r="J19" i="51" l="1"/>
  <c r="H21" i="53"/>
  <c r="G21" i="53"/>
  <c r="F21" i="53"/>
  <c r="E21" i="53"/>
  <c r="I15" i="51" l="1"/>
  <c r="I10" i="51" s="1"/>
  <c r="I7" i="51" s="1"/>
  <c r="E80" i="52"/>
  <c r="E78" i="52"/>
  <c r="E75" i="52" s="1"/>
  <c r="H75" i="52"/>
  <c r="F67" i="52"/>
  <c r="F66" i="52"/>
  <c r="F55" i="52"/>
  <c r="F54" i="52" s="1"/>
  <c r="F53" i="52" s="1"/>
  <c r="H54" i="52"/>
  <c r="H53" i="52" s="1"/>
  <c r="G54" i="52"/>
  <c r="G53" i="52" s="1"/>
  <c r="E54" i="52"/>
  <c r="E53" i="52" s="1"/>
  <c r="F51" i="52"/>
  <c r="F50" i="52" s="1"/>
  <c r="H49" i="52"/>
  <c r="E49" i="52"/>
  <c r="F48" i="52"/>
  <c r="H47" i="52"/>
  <c r="H46" i="52" s="1"/>
  <c r="G47" i="52"/>
  <c r="G46" i="52" s="1"/>
  <c r="E47" i="52"/>
  <c r="E46" i="52" s="1"/>
  <c r="F41" i="52"/>
  <c r="F40" i="52"/>
  <c r="F39" i="52" s="1"/>
  <c r="H39" i="52"/>
  <c r="H38" i="52" s="1"/>
  <c r="G38" i="52"/>
  <c r="E38" i="52"/>
  <c r="F37" i="52"/>
  <c r="H36" i="52"/>
  <c r="G36" i="52"/>
  <c r="E36" i="52"/>
  <c r="F34" i="52"/>
  <c r="F33" i="52"/>
  <c r="H32" i="52"/>
  <c r="G32" i="52"/>
  <c r="E32" i="52"/>
  <c r="E31" i="52" s="1"/>
  <c r="F29" i="52"/>
  <c r="F28" i="52" s="1"/>
  <c r="F27" i="52"/>
  <c r="H26" i="52"/>
  <c r="G26" i="52"/>
  <c r="E26" i="52"/>
  <c r="F20" i="52"/>
  <c r="F19" i="52" s="1"/>
  <c r="H19" i="52"/>
  <c r="H13" i="52" s="1"/>
  <c r="G19" i="52"/>
  <c r="G13" i="52" s="1"/>
  <c r="E19" i="52"/>
  <c r="E13" i="52" s="1"/>
  <c r="F17" i="52"/>
  <c r="F16" i="52" s="1"/>
  <c r="H7" i="52"/>
  <c r="G7" i="52"/>
  <c r="E7" i="52"/>
  <c r="K25" i="51"/>
  <c r="J25" i="51"/>
  <c r="J35" i="51" s="1"/>
  <c r="F26" i="51"/>
  <c r="F25" i="51" s="1"/>
  <c r="K17" i="51"/>
  <c r="I17" i="51" s="1"/>
  <c r="I16" i="51" s="1"/>
  <c r="F65" i="52" l="1"/>
  <c r="F62" i="52" s="1"/>
  <c r="F49" i="52"/>
  <c r="F38" i="52"/>
  <c r="G49" i="52"/>
  <c r="F47" i="52"/>
  <c r="F46" i="52" s="1"/>
  <c r="F26" i="52"/>
  <c r="F36" i="52"/>
  <c r="H25" i="52"/>
  <c r="H82" i="52" s="1"/>
  <c r="F13" i="52"/>
  <c r="E25" i="52"/>
  <c r="E82" i="52" s="1"/>
  <c r="F7" i="52"/>
  <c r="G25" i="52"/>
  <c r="F32" i="52"/>
  <c r="G31" i="52"/>
  <c r="H31" i="52"/>
  <c r="G75" i="52"/>
  <c r="I25" i="51"/>
  <c r="K16" i="51"/>
  <c r="G82" i="52" l="1"/>
  <c r="H84" i="52" s="1"/>
  <c r="F31" i="52"/>
  <c r="F25" i="52"/>
  <c r="J25" i="52"/>
  <c r="F82" i="52" l="1"/>
  <c r="C12" i="47"/>
  <c r="B12" i="47"/>
  <c r="D12" i="47" l="1"/>
  <c r="B23" i="47"/>
  <c r="D11" i="47"/>
  <c r="D19" i="47" l="1"/>
  <c r="J328" i="47" l="1"/>
  <c r="C23" i="47"/>
  <c r="D23" i="47" s="1"/>
</calcChain>
</file>

<file path=xl/sharedStrings.xml><?xml version="1.0" encoding="utf-8"?>
<sst xmlns="http://schemas.openxmlformats.org/spreadsheetml/2006/main" count="4757" uniqueCount="1026">
  <si>
    <t>Dział</t>
  </si>
  <si>
    <t>1.</t>
  </si>
  <si>
    <t>2.</t>
  </si>
  <si>
    <t>3.</t>
  </si>
  <si>
    <t>4.</t>
  </si>
  <si>
    <t>010</t>
  </si>
  <si>
    <t>60013</t>
  </si>
  <si>
    <t>750</t>
  </si>
  <si>
    <t>Paragraf</t>
  </si>
  <si>
    <t>01042</t>
  </si>
  <si>
    <t>Wyłączenie z produkcji gruntów rolnych</t>
  </si>
  <si>
    <t>Pozostała działalność</t>
  </si>
  <si>
    <t>Drogi publiczne wojewódzkie</t>
  </si>
  <si>
    <t>600</t>
  </si>
  <si>
    <t>921</t>
  </si>
  <si>
    <t>852</t>
  </si>
  <si>
    <t>2310</t>
  </si>
  <si>
    <t>2320</t>
  </si>
  <si>
    <t>6610</t>
  </si>
  <si>
    <t>2710</t>
  </si>
  <si>
    <t>Wykonanie</t>
  </si>
  <si>
    <t>6620</t>
  </si>
  <si>
    <t>6300</t>
  </si>
  <si>
    <t>Plan po zmianach</t>
  </si>
  <si>
    <t>4270</t>
  </si>
  <si>
    <t>4300</t>
  </si>
  <si>
    <t>6050</t>
  </si>
  <si>
    <t>900</t>
  </si>
  <si>
    <t>75095</t>
  </si>
  <si>
    <t>Filharmonie, orkiestry, chóry i kapele</t>
  </si>
  <si>
    <t>2800</t>
  </si>
  <si>
    <t>Biblioteki</t>
  </si>
  <si>
    <t>2480</t>
  </si>
  <si>
    <t>85232</t>
  </si>
  <si>
    <t>-</t>
  </si>
  <si>
    <t>Zestawienie wykonania planu przychodów i rozchodów budżetu</t>
  </si>
  <si>
    <t>1. PRZYCHODY</t>
  </si>
  <si>
    <t>w złotych</t>
  </si>
  <si>
    <t>Źródło przychodu</t>
  </si>
  <si>
    <t>% wykonania
(3:2)</t>
  </si>
  <si>
    <t>Inne źródła (wolne środki)</t>
  </si>
  <si>
    <t>OGÓŁEM</t>
  </si>
  <si>
    <t>2. ROZCHODY</t>
  </si>
  <si>
    <t>Przeznaczenie rozchodu</t>
  </si>
  <si>
    <t>Rozdział</t>
  </si>
  <si>
    <t>Nazwa</t>
  </si>
  <si>
    <t>Wydatki</t>
  </si>
  <si>
    <t>Plan
po zmianach</t>
  </si>
  <si>
    <t xml:space="preserve">Wykonanie </t>
  </si>
  <si>
    <t>w tym wydatki:</t>
  </si>
  <si>
    <t>bieżące</t>
  </si>
  <si>
    <t>majątkowe</t>
  </si>
  <si>
    <t xml:space="preserve">ROLNICTWO I ŁOWIECTWO </t>
  </si>
  <si>
    <t>POMOC SPOŁECZNA</t>
  </si>
  <si>
    <t>GOSPODARKA KOMUNALNA I OCHRONA ŚRODOWISKA</t>
  </si>
  <si>
    <t>Zestawienie wykonania planu dochodów i wydatków związanych z realizacją zadań wykonywanych w drodze umów lub porozumień 
między jednostkami samorządu terytorialnego na dofinansowanie własnych zadań bieżących oraz zadań inwestycyjnych i zakupów inwestycyjnych</t>
  </si>
  <si>
    <t>Dochody - otrzymane dotacje</t>
  </si>
  <si>
    <t>Przeznaczenie</t>
  </si>
  <si>
    <t xml:space="preserve">TRANSPORT I ŁĄCZNOŚĆ </t>
  </si>
  <si>
    <t>ADMINISTRACJA PUBLICZNA</t>
  </si>
  <si>
    <t xml:space="preserve">Pomoc finansowa udzielona przez Gminę Trzebownisko z przeznaczeniem na pokrycie kosztów zarządzania Podkarpackim Parkiem Naukowo -Technologicznym w strefie S1 Jasionka. </t>
  </si>
  <si>
    <t>KULTURA I OCHRONA DZIEDZICTWA NARODOWEGO</t>
  </si>
  <si>
    <t xml:space="preserve">Dotacja celowa otrzymana z  Powiatu Rzeszowskiego  na współfinansowanie działalności bieżącej Wojewódzkiej i Miejskiej Biblioteki Publicznej w Rzeszowie. </t>
  </si>
  <si>
    <t xml:space="preserve"> OGÓŁEM</t>
  </si>
  <si>
    <t>Centra integracji społecznej</t>
  </si>
  <si>
    <t>Spłaty rat pożyczki długoterminowej z Banku Rozwoju Rady Europy (CEB)</t>
  </si>
  <si>
    <t>Wykup papierów wartościowych (obligacji komunalnych)</t>
  </si>
  <si>
    <t>Udzielona pożyczka krótkoterminowa</t>
  </si>
  <si>
    <t xml:space="preserve">Kredyt długoterminowy </t>
  </si>
  <si>
    <t>Zestawienie wykonania planu dotacji udzielonych innym jednostkom samorządu terytorialnego 
na dofinansowanie własnych zadań bieżących oraz zadań inwestycyjnych i zakupów inwestycyjnych</t>
  </si>
  <si>
    <t>60016</t>
  </si>
  <si>
    <t>Drogi publiczne gminne</t>
  </si>
  <si>
    <t>630</t>
  </si>
  <si>
    <t>TURYSTYKA</t>
  </si>
  <si>
    <t>63003</t>
  </si>
  <si>
    <t>Zadania w zakresie upowszechniania turystyki</t>
  </si>
  <si>
    <t>63095</t>
  </si>
  <si>
    <t>2330</t>
  </si>
  <si>
    <t>700</t>
  </si>
  <si>
    <t>GOSPODARKA MIESZKANIOWA</t>
  </si>
  <si>
    <t>70005</t>
  </si>
  <si>
    <t>Gospodarka gruntami i nieruchomościami</t>
  </si>
  <si>
    <t>70095</t>
  </si>
  <si>
    <t>75075</t>
  </si>
  <si>
    <t>801</t>
  </si>
  <si>
    <t>OŚWIATA I WYCHOWANIE</t>
  </si>
  <si>
    <t>854</t>
  </si>
  <si>
    <t>EDUKACYJNA OPIEKA WYCHOWAWCZA</t>
  </si>
  <si>
    <t>90095</t>
  </si>
  <si>
    <t>Domy i ośrodki kultury, świetlice i kluby</t>
  </si>
  <si>
    <t>Muzea</t>
  </si>
  <si>
    <t>926</t>
  </si>
  <si>
    <t>Obiekty sportowe</t>
  </si>
  <si>
    <t>92605</t>
  </si>
  <si>
    <t>Zadania w zakresie kultury fizycznej</t>
  </si>
  <si>
    <t>92695</t>
  </si>
  <si>
    <t>WYDATKI OGÓŁEM</t>
  </si>
  <si>
    <t>6309</t>
  </si>
  <si>
    <t>6059</t>
  </si>
  <si>
    <t>Zestawienie wykonania planu dochodów gromadzonych na wyodrębnionym rachunku 
przez wojewódzkie oświatowe jednostki budżetowe, oraz wydatków nimi finansowanych</t>
  </si>
  <si>
    <t>Lp.</t>
  </si>
  <si>
    <t>Nazwa  jednostki</t>
  </si>
  <si>
    <t>Dochody</t>
  </si>
  <si>
    <t>Plan</t>
  </si>
  <si>
    <t xml:space="preserve">Zespół Szkół przy Klinicznym Szpitalu Wojewódzkim Nr 2 w Rzeszowie                 </t>
  </si>
  <si>
    <t xml:space="preserve">Zespół  Szkół  Specjalnych  w  Rymanowie  Zdroju  </t>
  </si>
  <si>
    <t>Medyczno - Społeczne Centrum Kształcenia Zawodowego i Ustawicznego w  Przemyślu</t>
  </si>
  <si>
    <t>Medyczno - Społeczne Centrum Kształcenia Zawodowego i Ustawicznego w  Jaśle</t>
  </si>
  <si>
    <t>Medyczno - Społeczne Centrum Kształcenia Zawodowego i Ustawicznego  w  Sanoku</t>
  </si>
  <si>
    <t>Medyczno - Społeczne Centrum Kształcenia Zawodowego i Ustawicznego  w  Łańcucie</t>
  </si>
  <si>
    <t>Medyczno - Społeczne Centrum Kształcenia Zawodowego i Ustawicznego  w  Mielcu</t>
  </si>
  <si>
    <t>Medyczno - Społeczne Centrum Kształcenia Zawodowego i Ustawicznego w  Stalowej  Woli</t>
  </si>
  <si>
    <t>Medyczno - Społeczne Centrum Kształcenia Zawodowego i Ustawicznego  w  Rzeszowie</t>
  </si>
  <si>
    <t>Podkarpackie Centrum Edukacji Nauczycieli 
w Rzeszowie</t>
  </si>
  <si>
    <t>Pedagogiczna  Biblioteka  Wojewódzka  
w  Rzeszowie</t>
  </si>
  <si>
    <t>Pedagogiczna  Biblioteka  Wojewódzka  
w  Krośnie</t>
  </si>
  <si>
    <t>Pedagogiczna  Biblioteka  Wojewódzka  
w  Przemyślu</t>
  </si>
  <si>
    <t xml:space="preserve">Biblioteka  Pedagogiczna  w  Tarnobrzegu  </t>
  </si>
  <si>
    <t>RAZEM</t>
  </si>
  <si>
    <t>851</t>
  </si>
  <si>
    <t>OCHRONA ZDROWIA</t>
  </si>
  <si>
    <t>855</t>
  </si>
  <si>
    <t>85510</t>
  </si>
  <si>
    <t>RODZINA</t>
  </si>
  <si>
    <t>Działalność placówek opiekuńczo-wychowawczych</t>
  </si>
  <si>
    <t>2360</t>
  </si>
  <si>
    <t xml:space="preserve">Dotacja celowa otrzymana z  Miasta Rzeszowa na współfinansowanie działalności bieżącej Wojewódzkiej i Miejskiej Biblioteki Publicznej w Rzeszowie. </t>
  </si>
  <si>
    <t>Pomoc finansowa udzielona przez Miasto Rzeszów z przeznaczeniem na:
1) dofinansowanie kosztów organizacji zadania pn. „Muzyczny Festiwal w Łańcucie” dla Filharmonii Podkarpackiej im. Artura Malawskiego w Rzeszowie w kwocie 100.000,-zł,
2) organizację koncertu plenerowego przy fontannie dla Filharmonii Podkarpackiej im. Artura Malawskiego w Rzeszowie w kwocie 40.000,-zł.</t>
  </si>
  <si>
    <t>60001</t>
  </si>
  <si>
    <t>Krajowe pasażerskie przewozy kolejowe</t>
  </si>
  <si>
    <t>60078</t>
  </si>
  <si>
    <t>Usuwanie skutków klęsk żywiołowych</t>
  </si>
  <si>
    <t>60095</t>
  </si>
  <si>
    <t>Dotacja celowa na realizację zadania powierzonego Województwu Warmińsko - Mazurskiemu zadania Samorządu Województwa Podkarpackiego w zakresie promocji walorów i możliwości rozwojowych Województwa Podkarpackiego polegającego na organizowaniu i zapewnieniu technicznych warunków do prowadzenia wspólnego przedstawicielstwa pn. „Dom Polski Wschodniej w Brukseli”.</t>
  </si>
  <si>
    <t>754</t>
  </si>
  <si>
    <t>BEZPIECZEŃSTWO PUBLICZNE I OCHRONA PRZECIWPOŻAROWA</t>
  </si>
  <si>
    <t>75412</t>
  </si>
  <si>
    <t>Ochotnicze straże pożarne</t>
  </si>
  <si>
    <t>80101</t>
  </si>
  <si>
    <t xml:space="preserve">Szkoły podstawowe </t>
  </si>
  <si>
    <t>92105</t>
  </si>
  <si>
    <t>Pozostałe zadania w zakresie kultury</t>
  </si>
  <si>
    <t>KULTURA FIZYCZNA</t>
  </si>
  <si>
    <t>4210</t>
  </si>
  <si>
    <t>6060</t>
  </si>
  <si>
    <t>4010</t>
  </si>
  <si>
    <t>4110</t>
  </si>
  <si>
    <t>4120</t>
  </si>
  <si>
    <t>4700</t>
  </si>
  <si>
    <t>Zestawienie wykonania planu dochodów i wydatków związanych ze szczególnymi zasadami wykonywania budżetu województwa wynikającymi z odrębnych ustaw</t>
  </si>
  <si>
    <t>Ustawa</t>
  </si>
  <si>
    <t>0690</t>
  </si>
  <si>
    <t>0910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</si>
  <si>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</si>
  <si>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</si>
  <si>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</si>
  <si>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</si>
  <si>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0480</t>
  </si>
  <si>
    <t>85153</t>
  </si>
  <si>
    <t>Zwalczanie narkomanii</t>
  </si>
  <si>
    <t>2910</t>
  </si>
  <si>
    <t>85154</t>
  </si>
  <si>
    <t xml:space="preserve">Przeciwdziałanie alkoholizmowi </t>
  </si>
  <si>
    <t>4190</t>
  </si>
  <si>
    <t>4390</t>
  </si>
  <si>
    <t>85205</t>
  </si>
  <si>
    <t>Zadania w zakresie przeciwdziałania przemocy w rodzinie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</si>
  <si>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</si>
  <si>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</si>
  <si>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</si>
  <si>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</si>
  <si>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Ustawa z dnia 11 maja 2001 r. 
o obowiązkach przedsiębiorców w zakresie gospodarowania niektórymi odpadami oraz o opłacie produktowej  oraz ustawy z dnia 13 czerwca 2013 r. o gospodarce opakowaniami i odpadami opakowaniowymi ( z późn. zm.)</t>
  </si>
  <si>
    <t>0400</t>
  </si>
  <si>
    <t>0530</t>
  </si>
  <si>
    <t>0970</t>
  </si>
  <si>
    <t>90024</t>
  </si>
  <si>
    <t>Wpływy i wydatki związane z wprowadzeniem do obrotu baterii i akumulatorów</t>
  </si>
  <si>
    <t>Ustawa z dnia 24 kwietnia 2009 r. 
o bateriach 
i akumulatorach (z późn. zm.)</t>
  </si>
  <si>
    <t>Dotacja celowa na pomoc finansową dla Województwa Małopolskiego na realizację zadania pn. „Dofinansowanie zadań związanych z organizacją i dotowaniem regionalnych kolejowych przewozów pasażerskich w relacji Kraków - Jasło i Nowy Sącz - Jasło".</t>
  </si>
  <si>
    <t>2830</t>
  </si>
  <si>
    <r>
      <t xml:space="preserve">Pomoc finansowa udzielona przez jednostki samorządu terytorialnego z przeznaczeniem na:
1) remonty chodników przy drogach wojewódzkich w kwocie 397.049,-zł,
2) odnowy dróg wojewódzkich - 973.922,-zł,
3) remonty cząstkowe dróg wojewódzkich - 30.000,-zł.
</t>
    </r>
    <r>
      <rPr>
        <i/>
        <sz val="11"/>
        <rFont val="Arial"/>
        <family val="2"/>
        <charset val="238"/>
      </rPr>
      <t>Szczegółowy podział pomocy finansowej przedstawiono w objaśnieniach do wykonania wydatków rozdziału 60013.</t>
    </r>
  </si>
  <si>
    <r>
      <t xml:space="preserve">Pomoc finansowa udzielona przez:
1) jednostki samorządu terytorialnego w kwocie 6.831.543,-zł z przeznaczeniem na:
a) budowę chodników przy drogach wojewódzkich w kwocie 5.299.620,-zł,
b) przebudowy dróg wojewódzkich w kwocie 1.531.923,-zł. 
</t>
    </r>
    <r>
      <rPr>
        <i/>
        <sz val="11"/>
        <rFont val="Arial"/>
        <family val="2"/>
        <charset val="238"/>
      </rPr>
      <t>Szczegółowy podział pomocy finansowej przedstawiono w objaśnieniach do wykonania wydatków rozdziału 60013.</t>
    </r>
    <r>
      <rPr>
        <sz val="11"/>
        <rFont val="Arial"/>
        <family val="2"/>
        <charset val="238"/>
      </rPr>
      <t xml:space="preserve">
2) Gminę Tryńcza na realizację zadania pn. „Przebudowa/ rozbudowa drogi wojewódzkiej nr 835 Lublin – Przeworsk – Grabownica Starzeńska na odcinku od skrzyżowania z drogą wojewódzką Nr 870 w m. Sieniawa do łącznika drogi  wojewódzkiej z węzłem „Przeworsk” w miejscowości Gorliczyna” - 1.112.000,-zł,
3) Miasto Mielec na realizację zadania pn.: „Budowa nowego odcinka drogi wojewódzkiej nr 984 od m. Piątkowiec przez m. Rzędzianowice do ul. Sienkiewicza w Mielcu wraz z budową mostu na rzece Wisłoka” - 98.327,-zł,
4) Gminę Ulanów na realizację zadania pn. „Budowa DW nr 858 Zarzecze – granica województwa na odcinku Dąbrowica – Sieraków + budowa mostu na rzece Tanew i mostu na rzece Borowina” - 750.000,-zł,
5) Powiat Jasielski na realizację zadania pn. „Budowa nowego odcinka drogi wojewódzkiej nr 992 w miejscowości Jasło” - 96.582,-zł,
6) jednostki samorządu terytorialnego w kwocie 346.239,-zł na realizację zadań:
a) pn.  „Budowa drogi wojewódzkiej nr 835 Lublin –Przeworsk –Grabownica Starzeńska na odcinku od węzła A4 "Przeworsk" do drogi krajowej 94 (Gwizdaj)” - 57.525,-zł (pomoc finansowa od Gminy Przeworsk - 28.763,-zł, Miasto Przeworsk - 28.762,-zł),
b) pn.  „Przebudowa skrzyżowania DW Nr 884 Przemyśl Domaradz z DP Nr 1777R Pruchnik - Nienadowa w m. Nienadowa wraz z przebudową dojazdów do skrzyżowania” - 200.000,-zł (pomoc finansowa od Gminy Dubiecko - 100.000,-zł, Powiatu Przemyskiego  - 100.000,-zł),
c) pn.: „Opracowanie dokumentacji projektowych i uzyskanie decyzji o zezwoleniu na realizację inwestycji drogowych” - 88.714,zł (pomoc finansowa od Gminy Krzeszów - 53.228,-zł oraz Powiatu Niżańskiego - 35.486,-zł).</t>
    </r>
  </si>
  <si>
    <t>Pomoc finansowa udzielona przez:
1) Miasto Jasło na realizację zadania pn. „Budowa drogi wojewódzkiej Nr 992 Jasło – Granica Państwa na odcinku pomiędzy drogą krajową Nr 28 a drogą krajową Nr 73” -  47.906,-zł.
2) Gminę Czarna na realizację zadania pn.: „Rozbudowa drogi wojewódzkiej nr 881 Sokołów Małopolski-Łańcut-Kańczuga-Żurawica na odcinku Czarna - Łańcut wraz z budową mostu na rzece Wisłok i Mikośka + ul. Kraszewskiego w Łańcucie” - 721.750,-zł.
3) Miasto Sanok na realizację zadania pn.: „Budowa drogi wojewódzkiej Nr 886 na odcinku pomiędzy planowaną obwodnicą miasta Sanoka a drogą krajową Nr 28” - 60.977,-zł,
4) Gminę Jeżowe na realizację zadania pn.: „Przebudowa/rozbudowa drogi wojewódzkiej Nr 861 Bojanów – Jeżowe – Kopki na odcinku od skrzyżowania drogi krajowej 19 w m. Jeżowe do węzła S-19 Podgórze” - 255.179,-zł.</t>
  </si>
  <si>
    <t>92106</t>
  </si>
  <si>
    <t>Teatry</t>
  </si>
  <si>
    <t>Pomoc finansowa udzielona przez Miasto Rzeszów z przeznaczeniem na organizację festiwalu "TRANS/MISJE Międzynarodowego Festiwalu Sztuki" dla Teatru im. W.Siemaszkowej w Rzeszowie.</t>
  </si>
  <si>
    <t>Dotacje celowe otrzymane z powiatów z przeznaczeniem na prowadzenie regionalnych placówek opiekuńczo - terapeutycznych na terenie województwa podkarpackiego,w tym z:
1) powiatu gliwickiego – 213.116,-zł,
2) powiatu grodziskiego – 120.085,-zł,
3) powiatu inowrocławskiego – 124.282,- zł,
4) powiatu kluczborskiego – 52.217,-zł,
5) powiatu leskiego – 487,-zł,
6) powiatu łańcuckiego – 63.083,- zł,
7) powiatu jarosławskiego – 116.833,-zł,
8) powiatu niżańskiego – 8.356,-zł,
9) powiatu pilskiego – 167.165,-zł,
10) powiatu pruszkowskiego – 126.166,- zł,
11) powiatu przeworskiego – 63.559,-zł,
12) powiatu ropczycko-sędziszowskiego – 22.136,-zł,
13) powiatu rzeszowskiego – 60.200,-zł,
14) powiatu zielonogórskiego – 60.779,- zł,
15) gminy na prawach powiatu Siemianowice Śląskie – 55.659,- zł,
16) miasta na prawach powiatu Łódź – 113.598,- zł,
17) miasta na prawach powiatu Świętochłowice – 104.110,-zł.</t>
  </si>
  <si>
    <t>85141</t>
  </si>
  <si>
    <t>6220</t>
  </si>
  <si>
    <t xml:space="preserve">Spłaty rat kredytu długoterminowego </t>
  </si>
  <si>
    <t>Ustawa z dnia 26 października 1982 r. 
o wychowaniu w trzeźwości 
i przeciwdziałaniu alkoholizmowi 
(z późn. zm.)</t>
  </si>
  <si>
    <t>0950</t>
  </si>
  <si>
    <t>Ustawa z dnia 3 lutego 1995r. 
o ochronie gruntów rolnych i leśnych 
(z późn. zm.)</t>
  </si>
  <si>
    <t>Ustawa z dnia 27 kwietnia 2001 r. Prawo ochrony środowiska 
(z późn. zm.)</t>
  </si>
  <si>
    <t>6230</t>
  </si>
  <si>
    <t>60014</t>
  </si>
  <si>
    <t>Drogi publiczne powiatowe</t>
  </si>
  <si>
    <t>85214</t>
  </si>
  <si>
    <t>Zasiłki i pomoc w naturze oraz składki na ubezpieczenia emerytalne i rentowe</t>
  </si>
  <si>
    <t xml:space="preserve">Dotacja celowa na pomoc finansową dla Gminy Cieszanów na wypłatę zasiłków celowych mieszkańcom poszkodowanym w związku z występowaniem na terenie powiatu lubaczowskiego Afrykańskiego Pomoru Świń. </t>
  </si>
  <si>
    <t>Dotacja celowa na pomoc finansową dla Gminy Błażowa na budowę domu rodzinnego rodziny Kozdraś z miejscowości Kąkolówka</t>
  </si>
  <si>
    <t>85420</t>
  </si>
  <si>
    <t>Dotacja celowa na pomoc finansową dla Powiatu Lubaczowskiego na realizacje zadania pn. „Wykonanie przebudowy i nadbudowy istniejącego budynku pralni z częścią dydaktyczną w Zespole Placówek im. Jana Pawła II w Lubaczowie”.</t>
  </si>
  <si>
    <t>90015</t>
  </si>
  <si>
    <t>Oświetlenie ulic, placów i dróg</t>
  </si>
  <si>
    <t>Ochrona zabytków i opieka nad zabytkami</t>
  </si>
  <si>
    <r>
      <t xml:space="preserve">Dotacja celowa dla gmin na budowę i modernizację dróg dojazdowych do gruntów rolnych.
</t>
    </r>
    <r>
      <rPr>
        <i/>
        <sz val="11"/>
        <rFont val="Arial"/>
        <family val="2"/>
        <charset val="238"/>
      </rPr>
      <t xml:space="preserve">Szczegółowy podział dotacji przedstawiono w objaśnieniach do wykonania wydatków rozdziału 01042. </t>
    </r>
  </si>
  <si>
    <t>Dotacje celowe na pomoc finansową dla:
1) Powiatu Jasielskiego  na budowę chodnika w ciągu drogi powiatowej nr 1313R Jasło - Błażkowa - Jodłowa w miejscowości Dąbrówka – 170.000,-zł,
2) Powiatu Dębickiego na dofinansowanie inwestycji:
a) „Przebudowa drogi powiatowej nr 1298R Nagawczyna - Stasiówka - budowa chodnika w km 0+173,0 - 0+375,0" – 120.000,-zł,
b) „Łącznik Węzeł Zachodni A4 – Straszęcin Dębica” – 1.500.000,-zł,
c) „Budowa łącznika od węzła autostrady A4 Dębica Wschód do DK4 i DW 985 (Zawada-Pustynia)” – 1.500.000,-zł.</t>
  </si>
  <si>
    <t>Dotacje celowe na pomoc finansową dla:
1) Gminy Jedlicze na realizację zadania pn.: „Przebudowa dr. gm. G114690R zlokalizowanej na dz. o nr ew. 1264 w m. Jedlicze ul. Kolejowa” w ramach projektu pn. „Wojewódzki Fundusz Kolejowy” – 10.000,- zł, 
2) Gminy Zagórz na realizację zadania pn.: "Budowa kładki pieszo-jezdnej na rzece Osława w miejscowości Morochów, Gmina Zagórz" – 300.000,-zł,
3) Gminy Kolbuszowa z przeznaczeniem na budowę parkingu w miejscowości Widełka – 100.000,-zł.</t>
  </si>
  <si>
    <t>Dotacje celowe na pomoc finansową dla:
1) Gminy Przemyśl na zadanie „Zabezpieczenie osuwiska w m. Kuńkowice na odc. drogi wojewódzkiej Nr 884 Przemyśl – Dubiecko – Bachórz – Domaradz w km 5+300 – 5+500 wraz z przełożeniem w jej pas gminnej sieci wodociągowej” – 25.800,-zł,
2) Powiatu Bieszczadzkiego na dofinansowanie zadania pn.: "Przebudowa drogi powiatowej nr 2296R Ustjanowa - Daszówka - Czarna w km 16+600 - 18+350 w m. Czarna Dolna" – 150.000,-zł.</t>
  </si>
  <si>
    <t>Dotacje celowe na pomoc finansową w ramach projektu pn. „Wojewódzki Fundusz Kolejowy”, w tym dla:
a)  Gminy i Miasta Dębica na dofinansowanie zadania 
pn.: „Budowa parkingu miejskiego wraz z chodnikiem przy ul. Konarskiego 
w Dębicy” – 20.000,-zł,
b) Gminy Kolbuszowa na dofinansowanie zadania pn.: „Budowa miejsc postojowych wraz z dojściem do przystanku osobowego w Zarębkach” – 10.000,-zł.</t>
  </si>
  <si>
    <t>Dotacje celowe na pomoc finansową dla gmin z przeznaczeniem na dofinansowanie zadań realizowanych w sołectwach w ramach „Podkarpackiego Programu Odnowy Wsi na lata 2017-2020”, w tym dla:
1) Gminy Rymanów na dofinansowanie zadania pn. „Wykonanie altany (wiaty rekreacyjnej) obok boiska sportowego w Posadzie Górnej Gmina Rymanów”, realizowanego w sołectwie Posada Góra w kwocie 10.000,-zł,
2) Gminy Solina na dofinansowanie zadania pn. „Urządzenie ogólnodostępnego zejścia do Jeziora Solińskiego wraz z przygotowaniem terenu do rozwoju lokalnej przedsiębiorczości w okolicy zielonej plaży w Wołkowyi”, realizowanego w sołectwie Wołkowyja w kwocie 10.000,-zł.</t>
  </si>
  <si>
    <t>Dotacje celowe na pomoc finansowa dla:
1) Gminy Nowa Sarzyna na dofinansowanie zadania pn. „Integracja i aktywizacja mieszkańców wsi poprzez budowę przystani kajakowej w Sarzynie”, realizowanego w sołectwie Sarzyna w ramach „Podkarpackiego Programu Odnowy Wsi na lata 2017-2020” - 10.000,-zł,
2) Gminy Solina na zadanie pn. „Zagospodarowanie szlaku turystycznego na Korbanie”  - 144.163,-zł.</t>
  </si>
  <si>
    <t>Dotacja celowa na pomoc finansową w ramach „Podkarpackiego Programu Odnowy Wsi na lata 2017-2020” dla Gminy Brzostek na dofinansowanie zadania pn. „Zorganizowanie imprezy: dożynki gminne w Siedliskach Bogusz” realizowanego w Sołectwie Siedliska-Bogusz.</t>
  </si>
  <si>
    <t xml:space="preserve">Dotacja celowa na pomoc finansową w ramach „Podkarpackiego Programu Odnowy Wsi na lata 2017-2020” dla Gminy Trzebownisko na dofinansowanie zadania pn. „Budowa mini parku wraz z infrastrukturą rekreacyjno-wypoczynkową – etap II”, realizowanego w sołectwie Jasionka. </t>
  </si>
  <si>
    <t>Dotacje celowe na pomoc finansową dla gmin z przeznaczeniem na dofinansowanie zadań realizowanych w sołectwach w ramach „Podkarpackiego Programu Odnowy Wsi na lata 2017-2020” w kwocie 49.993,-zł, w tym dla:
1) Gminy Iwierzyce na dofinasowanie zadania pn. „Budowa 
i wyposażenie placu zabaw w Bystrzycy – etap II wraz z budową ogrodzenia” realizowanego w sołectwie Bystrzyca w kwocie 10.000,-zł,
2) Gminy Baranów Sandomierski na dofinansowanie zadania 
pn. „Utworzenie miejsca integracji i aktywizacji społecznej wraz z miejscem pamięci w miejscowości Ślęzaki – etap II”, realizowanego w sołectwie Ślęzaki 
w kwocie 10.000,-zł,
3) Gminy Borowa na dofinansowanie zadania pn. „Modernizacja terenu przy świetlicy wiejskiej w Borowej poprzez doposażenie placu zabaw o nowe elementy oraz rozszerzenie funkcjonalności obiektu poprzez budowę wiaty jako infrastruktury pozwalającej na organizacje imprez integracyjnych dla mieszańców”, realizowanego w sołectwie Borowa w kwocie 10.000,-zł,
4) Gminy Radomyśl nad Sanem na dofinansowanie zadania 
pn. „Poprawa wizerunku otoczenia WDK w Rzęczycy Długiej oraz zagospodarowanie wolnej wokół tego budynku przestrzeni”, realizowanego w sołectwie Rzęczyca Długa w kwocie 9.993,-zł,
5) Gminy Dębica na dofinansowanie zadania pn. „Wzrost aktywności i integracji mieszkańców Sołectwa Pustków poprzez budowę wiaty grillowej”, realizowanego w sołectwie Pustków w kwocie 10.000,-zł.</t>
  </si>
  <si>
    <t xml:space="preserve">Dotacja celowa na pomoc finansową w ramach „Podkarpackiego Programu Odnowy Wsi na lata 2017-2020”  dla Gminy Dębowiec na dofinansowanie zadania  pn. „Dożynki Gminne”, realizowanego w Sołectwie Cieklin. </t>
  </si>
  <si>
    <t>Dotacje celowe na pomoc finansową dla gmin z przeznaczeniem na dofinansowanie zadań realizowanych w sołectwach w ramach "Podkarpackiego Programu Odnowy Wsi na lata 2017-2020" w kwocie 47.000,-zł, w tym dla:
1) Gminy Frysztak na dofinansowanie zadania pn. „Remont zaplecza, wykonanie ogrzewania i zakup wyposażenia w budynku wiejskim”, realizowanego w Sołectwie Cieszyna w kwocie 10.000,-zł,
2) Gminy Przecław na  dofinansowanie zadania 
pn. „Adaptacja poddasza w budynku komunalnym w Białym Borze na świetlicę wiejską – remont podłóg i wykonanie instalacji wodno-kanalizacyjnej”, realizowanego w Sołectwie  Biały Bór w kwocie 10.000,-zł,
3) Gminy Korczyna na  dofinansowanie zadania 
pn. „Poprawa warunków działalności orkiestry dętej w Iskrzyni poprzez m.in. zakup instrumentów muzycznych”, realizowanego w Sołectwie Iskrzynia w kwocie 7.000,-zł,
4) Gminy Lesko na  dofinansowanie zadania 
pn. „Zagospodarowanie trenu przy Centrum Kultur Pogranicznej w Łukawicy na potrzeby organizacji imprez plenerowych”, realizowanego w Sołectwie Łukawica w kwocie 10.000,-zł,
5) Gminy Kołaczyce na  dofinansowanie zadania 
pn. „Remont Sali w Domu Ludowym poprzez wykonanie instalacji centralnego ogrzewania oraz izolacji termicznej stropu”, realizowanego w Sołectwie Nawsie Kołaczyckie w kwocie 10.000,-zł.</t>
  </si>
  <si>
    <t>Dotacja celowa na pomoc finansową dla Powiatu Sanockiego na dofinansowanie bieżącej działalności statutowej Muzeum Historycznego w Sanoku w zakresie gromadzenia, przechowywania i udostępniania zbiorów.</t>
  </si>
  <si>
    <t>Dotacje celowe na pomoc finansową na dofinansowanie zadania realizowanego w ramach „Podkarpackiego Programu Odnowy Wsi na lata 2017-2020”  dla Gminy Jedlicze z przeznaczeniem na dofinansowanie zadania pn. „Renowacja kapliczki przydrożnej w Chlebnej stanowiącej dziedzictwo kulturowe miejscowości” realizowanego w Sołectwie Chlebna.</t>
  </si>
  <si>
    <t>Dotacje celowe na pomoc finansową dla gmin z przeznaczeniem na dofinansowanie zadań realizowanych w sołectwach w ramach "Podkarpackiego Programu Odnowy Wsi na lata 2017-2020" w kwocie 30.000,-zł, w tym dla:
1) Gminy Olszanica na dofinansowanie zadania pn. „Festiwal Wędkarstwa Muchowego „Vision Fly Fishing Festival” w Zwierzyniu”, realizowanego w Sołectwie Zwierzyń - 10.000,-zł,
2) Gminy Tryńcza na dofinansowanie zadania pn. „Wyposażenie Sali Wiejskiego Domu Kultury w Głogowcu”, realizowanego w Sołectwie Głogowiec - 10.000,-zł,
3) Gminy Narol na dofinansowanie zadania pn. „Upamiętnienie 100 Rocznicy Odzyskania Niepodległości poprzez wykonanie pomnika ”, realizowanego w Sołectwie Ruda Różaniecka - 10.000,-zł.</t>
  </si>
  <si>
    <t>Dotacja celowa dla Województwa Świętokrzyskiego na realizację zadania pn. "Utrzymanie projektu „Trasy rowerowe w Polsce Wschodniej – promocja”.</t>
  </si>
  <si>
    <t>Dotacje celowe na pomoc finansową dla gmin z przeznaczeniem na dofinansowanie zadań realizowanych w sołectwach w ramach „Podkarpackiego Programu Odnowy Wsi na lata 2017-2020” w kwocie 19.500,-zł, w tym dla:
1) Gminy Miejsce Piastowe na dofinansowanie zadania pn. „Poprawa infrastruktury terenu rekreacyjnego przy „Czarnym moście” poprzez zakup wyposażenia służącego zaspokajaniu potrzeb społecznych i kulturalnych mieszkańców Miejsca Piastowego” realizowanego w sołectwie Miejsce Piastowe – 9.500,-zł,
2) Gminy i Miasta Kańczuga na dofinansowanie zadania pn. „Renowacja plaży i rozwój infrastruktury rekreacyjno-wypoczynkowej przy zbiorniku wodnym w m. Łopuszka Mała” realizowanego w sołectwie Łopuszka Mała – 10.000,-zł.</t>
  </si>
  <si>
    <t>Dotacje celowe na pomoc finansową dla:
1) Powiatu Stalowowolskiego na wykonanie remontu drogi powiatowej nr 1031R Stany - Maziarnia - Nisko na odcinku od km 5+800 do km 7+500 - 393.571,-zł,
2) Powiatu Przemyskiego na realizację zadanie pn.: „Remont drogi powiatowej 
nr 2082R "Reczpol przez wieś" – 200.000,-zł.</t>
  </si>
  <si>
    <t>Dotacje celowe na pomoc finansową dla gmin z przeznaczeniem na dofinansowanie zadań realizowanych w sołectwach w ramach „Podkarpackiego Programu Odnowy Wsi na lata 2017-2020” w kwocie 19.600,-zł, z tego dla:
1) Gminie Pilzno na dofinansowanie zadania pn.: „Remont pomieszczeń budynku remizy OSP i wiaty widowiskowej, zakup strojów ludowych dla Koła Gospodyń Wiejskich w Łękach Dolnych” realizowanego 
w sołectwie Łęki Dolne - 9.600,-zł,
2) Gminie Hyżne na dofinansowanie zadania pn.: „Wyposażenie zaplecza kuchennego w budynku Domu Strażaka w Wólce Hyżneńskiej” realizowanego w sołectwie Wólka Hyżneńska - 10.000,-zł.</t>
  </si>
  <si>
    <t>Dotacje celowe na pomoc finansową dla gmin z przeznaczeniem na dofinansowanie zadań realizowanych w sołectwach w ramach „Podkarpackiego Programu Odnowy Wsi na lata 2017-2020” w kwocie 19.040,-zł, z tego dla:
1) Gminy Dydnia na dofinansowanie zadania pn. „Remont 
i adaptacja niewykorzystanych pomieszczeń przy Domu Ludowym na ogólnodostępne sanitariaty”, realizowanego w sołectwie Jabłonka - 9.043,-zł,
2) Gminy Kolbuszowa na dofinansowanie zadania pn. „Modernizacja placu na spotkania integracyjne – budowa mini siłowni w Świerczowie”, realizowanego w sołectwie Świerczów - 9.997,-zł.</t>
  </si>
  <si>
    <t>Dotacje celowe na pomoc finansową dla:
1) gmin z przeznaczeniem na dofinansowanie zadań realizowanych w sołectwach w ramach „Podkarpackiego Programu Odnowy Wsi na lata 2017-2020” w kwocie 88.902,-zł, z tego dla:
a) Gminy Zarzecze na dofinansowanie zadania 
pn. „Budowa wiaty wielofunkcyjnej przy budynku remizy OSP”, realizowanego 
w sołectwie Maćkówka – 10.000,-zł,
b) Gminy Jarosław na dofinansowanie zadania pn. „Zagospodarowanie terenu przy stawie, stworzenie terenu rekreacyjno-sportowego oraz zakup sprzętu nagłaśniającego i oświetleniowego do domu kultury w Pełkiniach”, realizowanego w sołectwie Pełkinie – 10.000,-zł,
c) Gminy Jawornik Polski na dofinansowanie zadania 
pn. „Wydzielenie i zagospodarowanie terenu na ogniska i wspólne spotkania kulturowe obok budynku Świetlicy Wiejskiej II etap – utwardzenie placu spotkań płytami ażurowymi", realizowanego w sołectwie Zagórze – 10.000,-zł,
d) Gminy Krasiczyn na dofinansowanie zadania pn. „Modernizacja świetlicy wiejskiej w Prałkowcach poprzez docieplenie poddasza oraz przebudowę instalacji gazowej”, realizowanego w sołectwie Prałkowce – 9.311,-zł,
e) Gminy Orły na dofinansowanie zadania pn. „Budowa placu zabaw przy blokach w miejscowości Zadąbrowie”, realizowanego w sołectwie Zadąbrowie – 10.000,-zł,
f) Gminy Horyniec-Zdrój na dofinansowanie zadania pn. „Budowa placu zabaw na osiedlu Sobieskiego”, realizowanego w sołectwie Horyniec-Zdrój – 10.000,-zł,
g) Gminy Laszki z przeznaczeniem na dofinansowanie zadania pn. „Zakup i montaż urządzeń siłowni zewnętrznej w miejscowości Wietlin”, realizowanego w sołectwie Wietlin – 9.591,-zł,
h) Gminy Żurawica na dofinansowanie zadania pn. „Rozbudowa placu zabaw w Kosienicach poprzez budowę siłowni napowietrznej”, realizowanego w sołectwie Kosienice – 10.000,-zł,
i) Gminy Leżajsk na dofinansowanie zadania pn. „Modernizacja i zagospodarowanie placu przy remizie OSP poprzez stworzenie placu zabaw przy remizie OSP w Przychojcu”, realizowanego w sołectwie Przychojec – 10.000,-zł.
2) Gminy Oleszyce na dofinansowanie zadania pn. „Przebudowa budynku po byłej stacji PKP w Oleszycach”, realizowanego w ramach projektu pn. „Wojewódzki Fundusz Kolejowy” - 20.000,-zł,
3) Gminy Sośno w Powiecie Sępoleńskim w Województwie Kujawsko-Pomorskim na zaspokojenie potrzeb lokalowych osób poszkodowanych w wyniku nawałnicy poprzez zakupu lokalu mieszkalnego -  47.049,-zł.</t>
  </si>
  <si>
    <t>Dotacje celowe na pomoc finansową dla gmin z przeznaczeniem na dofinansowanie zadań w ramach „Podkarpackiego Programu Odnowy Wsi na lata 2017 – 2020” w kwocie 30.000,-zł, w tym dla:
1) Gminie Niwiska na dofinansowanie zadania pn. „Rozbudowa i przebudowa szkoły podstawowej w Hucinie pod świetlice wiejską – III etap” realizowanego w Sołectwie Hucina - 10.000,-zł,
2) Gminie Mielec na dofinansowanie zadania pn. „Wykonanie siłowni plenerowej w miejscowości Rydzów” realizowanego w Sołectwie Rydzów - 10.000,-zł,
3) Gminie Tyczyn na dofinansowanie zadania pn. „Utworzenie ogólnodostępnej siłowni zewnętrznej w Kielnarowej”  realizowanego w Sołectwie Kielnarowa - 10.000,-zł.</t>
  </si>
  <si>
    <t>Dotacje celowe na pomoc finansową dla gmin z przeznaczeniem na dofinansowanie zadań realizowanych w sołectwach w ramach „Podkarpackiego Programu Odnowy Wsi na lata 2017-2020” w kwocie 40.000,-zł, z tego dla:
1) Gminie Kuryłówka na dofinansowanie zadania pn.: „Budowa wiaty dożynkowej przy remizie OSP” realizowanego w sołectwie Kuryłówka 
- 10.000,-zł,
2) Gminie Besko na dofinansowanie zadania pn.: „Integrujemy się wokół naszej historii poprzez upamiętnienie miejsc ważnych historycznie. Odnowienie elewacji na budynku Domu Strażaka w Mymoniu (Budowa pomnika)” realizowanego w sołectwie Mymoń - 10.000,-zł,
3) Gminy Tuszów Narodowy na dofinansowanie zadania pn.: „Modernizacja budynku OSP w Grochowem I , na potrzeby utworzenia świetlicy wiejskiej” realizowanego w sołectwie Grochowe I - 10.000,-zł,
4) Gmina Krzeszów z przeznaczeniem na dofinansowanie zadania pn.: „Budowa ogrodzenia przy placu zabaw – zagospodarowanie terenu wokół remizy OSP” realizowanego w sołectwie Kamionka Góra - 10.000,-zł.</t>
  </si>
  <si>
    <t>Dotacje celowe na pomoc finansową dla gmin z przeznaczeniem na dofinansowanie zadań realizowanych w sołectwach w ramach "Podkarpackiego Programu Odnowy Wsi na lata 2017-2020" w kwocie 48.689,-zł, w tym dla:
1) Gminy Zarszyn  na dofinansowanie zadania pn. „Remont pomieszczenia i zakup wyposażenia konferencyjnego świetlicy Domu Kultury oraz ułożenie płytek ceramicznych na balkonie Domu Kultury”,  realizowanego w Sołectwie Odrzechowa w kwocie 9.000,-zł,
2) Gminy Sanok na dofinansowanie zadania pn. „Zakup strojów ludowych dla KGW  z Wujskiego oraz organizacja wieczorku patriotycznego dla mieszkańców miejscowości”,  realizowanego w Sołectwie Wujskie w kwocie 10.000,-zł,
3) Gminy Chorkówka na dofinansowanie zadania pn. „Remont Domu Ludowego – wymiana okien, malowanie okien i pomieszczeń”,  realizowanego w Sołectwie Kobylany w kwocie 10.000,-zł,
4) Gminy Ropczyce na dofinansowanie zadania pn. „Wyposażenie obiektów Wiejskiego Centrum Kultury w sprzęt nagłaśniający i multimedialny”,  realizowanego w Sołectwie Gnojnica Dolna w kwocie 10.000,-zł,
5) Gminie Bojanów na dofinansowanie zadania pn. „Remont Domu Ludowego – wymiana okien, malowanie okien i pomieszczeń”,  realizowanego w Sołectwie Maziarnia w kwocie 9.689,-zł.</t>
  </si>
  <si>
    <t>Dotacje celowe na pomoc finansową, w tym:
1) dla Gminy Zarszyn na dokończenie zadania pn. Modernizacja Domu Kultury w Pastwiskach i zaadaptowanie jego części na Regionalne Centrum Pamięci Kardynała Karola Wojtyły w Pastwiskach – 80.000,- zł,
2)  na dofinansowanie zadań realizowanych w sołectwach w ramach "Podkarpackiego Programu Odnowy Wsi na lata 2017-2020" w kwocie 39.140,-zł, z tego dla:
a) Gminy Świlcza na dofinansowanie zadania pn. „Modernizacja Pomieszczeń Domu Ludowego w Błędowej Zgłobieńskiej w celu stworzenia miejsca spotkań integracyjnych – II etap”, realizowanego w Sołectwie Błędowa Zgłobieńska -10.000,-zł,
b) Gminy Wojaszówka na dofinansowanie zadania pn. „Doposażenie Koła Gospodyń Wiejskich oraz organizacja „Święta chleba – Chlebowych wieczorów”, realizowanego w Sołectwie Ustrobna - 9.140,-zł,
c) Gminy Krasne na dofinansowanie zadania pn. „Wykonanie tarasu i altany przy budynku Domu Kultury w Palikówce pod potrzeby organizacji plenerowej spotkań integracyjnych”, realizowanego w Sołectwie Palikówka - 10.000,-zł,
d) Gminiy Sieniawa na dofinansowanie zadania pn. 
„Budowa placu zabaw”, realizowanego w Sołectwie Dybków - 10.000,-zł.</t>
  </si>
  <si>
    <t>Dotacje celowe na pomoc finansową dla gmin z przeznaczeniem na dofinansowanie zadań w ramach  „Podkarpackiego Programu Odnowy Wsi na lata 2017 – 2020” w kwocie 27.950,-zł, w tym dla:
1) Gminie Błażowa na dofinansowanie zadania 
pn. „Stworzenie infrastruktury sportowo-rekreacyjnej poprzez urządzenie siłowni zewnętrznej wraz z budową boiska do siatkówki plażowej” realizowanego w sołectwie Lecka - 9.500,-zł,
2) Gminie Medyka na dofinansowanie zadania 
pn. „Rozbudowa placu zabaw i budowa siłowni zewnętrznej” realizowanego w sołectwie Hurko - 10.000,-zł,
3) Gminie Wiśniowa na dofinansowanie zadania 
pn. „Wzrost integracji społeczności lokalnej poprzez doposażenie stadionu sportowego w mini trybuny oraz organizację pikniku rodzinnego z rozgrywkami sportowo-rekreacyjnymi” realizowanego w sołectwie Hurko - 8.450,-zł.</t>
  </si>
  <si>
    <t>Dotacje celowe na pomoc finansową dla gmin z przeznaczeniem na dofinansowanie zadań w ramach  „Podkarpackiego Programu Odnowy Wsi na lata 2017 – 2020” w kwocie 20.000,-zł, w tym dla:
1) Gminy Fredropol na dofinansowanie zadania pn. „Urządzenie terenów pod rekreację, wypoczynek, imprezy plenerowe nad rzeką Wiar oraz zagospodarowanie boiska sportowego wraz z otoczeniem w Huwnikach” realizowanego w Sołectwie Huwniki - 10.000,-zł,
2) Gminy Sędziszów Małopolski na dofinansowanie zadania pn. „Organizacja turnieju sportowego w Wolicy Ługowej im. kpt. Franciszka Macha” realizowanego w Sołectwie Wolica Ługowa - 10.000,-zł.</t>
  </si>
  <si>
    <t>Dotacje celowe na pomoc finansową dla gmin z przeznaczeniem na dofinansowanie zadań w ramach  „Podkarpackiego Programu Odnowy Wsi na lata 2017 – 2020” w kwocie 20.000,-zł, w tym dla:
1) Gminie Głogów Małopolski na dofinansowanie zadania pn. „Budowa ogrodzenia wokół stadionu sportowego w Wysokiej Głogowskiej – etap II oraz dostawa i montaż trybuny wraz z organizacją meczu integrującego lokalną społeczność” realizowanego w Sołectwie Wysoka Głogowska - 10.000,-zł,
2) Gminie Lubenia na dofinansowanie zadania pn. „Modernizacja Domu Kultury w Siedliskach poprzez wykonanie klimatyzacji i nagłośnienia wraz z uroczystym otwarciem mającym na celu promocję projektu oraz budowa placu zabaw w miejscowości Siedliska – etap II wraz z uroczystym otwarciem mającym na celu promocję projektu” realizowanego w Sołectwie Siedliska - 10.000,-zł.</t>
  </si>
  <si>
    <t>Pomoc finansowa udzielona przez Gminę Miasto Rzeszów z przeznaczeniem na dofinansowane zakupu ambulansu dla Wojewódzkiej Stacji Pogotowia Ratunkowego w Rzeszowie.</t>
  </si>
  <si>
    <t>Zestawienie wykonania dochodów województwa 
(według działów, rozdziałów, paragrafów klasyfikacji budżetowej oraz źródeł pochodzenia i rodzajów dochodów)</t>
  </si>
  <si>
    <t>Rozdz.</t>
  </si>
  <si>
    <t>Źródło pochodzenia</t>
  </si>
  <si>
    <t>Plan wg uchwały budżetowej</t>
  </si>
  <si>
    <t>% wykonanie (7:6)</t>
  </si>
  <si>
    <t>5.</t>
  </si>
  <si>
    <t>6.</t>
  </si>
  <si>
    <t>7.</t>
  </si>
  <si>
    <t>8.</t>
  </si>
  <si>
    <t>ROLNICTWO I ŁOWIECTWO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</si>
  <si>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</si>
  <si>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</si>
  <si>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</si>
  <si>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</si>
  <si>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</si>
  <si>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</si>
  <si>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0940</t>
  </si>
  <si>
    <t>b) dochody majątkowe</t>
  </si>
  <si>
    <t>01006</t>
  </si>
  <si>
    <t>Zarządy melioracji i urządzeń wodnych</t>
  </si>
  <si>
    <t>Dochody realizowane przez Podkarpacki Zarząd Melioracji i Urządzeń Wodnych w Rzeszowie w likwidacji</t>
  </si>
  <si>
    <t>0920</t>
  </si>
  <si>
    <t>b) dochody majątkowe, w tym:</t>
  </si>
  <si>
    <t>0870</t>
  </si>
  <si>
    <t>01008</t>
  </si>
  <si>
    <t>Melioracje wodne</t>
  </si>
  <si>
    <t>Zwrot rozliczonych zaliczek wpłaconych w latach 2016 - 2017 na koszty złożenia do depozytu odszkodowań za przejęte grunty pod inwestycje melioracyjne</t>
  </si>
  <si>
    <t xml:space="preserve">Dotacje celowe otrzymane z budżetu państwa na zadania bieżące z zakresu administracji rządowej oraz inne zadania zlecone ustawami realizowane przez samorząd województwa </t>
  </si>
  <si>
    <t>5% dochodów uzyskiwanych na rzecz budżetu państwa w związku z realizacją zadań z zakresu administracji rządowej oraz innych zadań zleconych ustawami</t>
  </si>
  <si>
    <t xml:space="preserve">Dotacje celowe otrzymane z budżetu państwa na inwestycje i zakupy inwestycyjne z zakresu administracji rządowej oraz inne zadania zlecone ustawami realizowane przez samorząd województwa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</si>
  <si>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Regionalnego Programu Operacyjnego Województwa Podkarpackiego na lata 2014-2020</t>
  </si>
  <si>
    <t>Odsetki powstałe na rachunku depozytowym Sądu Rejonowego w Rzeszowie związane z realizacją inwestycji melioracyjnych w zakresie wykupu gruntów</t>
  </si>
  <si>
    <t>01041</t>
  </si>
  <si>
    <t>Program Rozwoju Obszarów Wiejskich</t>
  </si>
  <si>
    <t xml:space="preserve">Zwrot kosztów procesu i postępowania apelacyjnego </t>
  </si>
  <si>
    <t>0630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</si>
  <si>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</si>
  <si>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</si>
  <si>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Wpływy z tytułu opłat za wyłączenie z produkcji gruntów rolnych</t>
  </si>
  <si>
    <t>Odsetki z tytułu nieterminowej wpłaty, opłat za wyłączenie z produkcji gruntów rolnych</t>
  </si>
  <si>
    <t>Wpływ kary za nieterminowe wykonanie umowy</t>
  </si>
  <si>
    <t>Przedawnione nadpłaty za wyłączenie z produkcji gruntów rolnych za lata 2006 - 2012</t>
  </si>
  <si>
    <t>01078</t>
  </si>
  <si>
    <t>Zwrot rozliczonych zaliczek wpłaconych w roku 2015 na koszty złożenia do depozytu odszkodowań za przejęte grunty pod inwestycje melioracyjne</t>
  </si>
  <si>
    <t>01095</t>
  </si>
  <si>
    <t>Zwrot zaliczki dla komornika za prowadzone postępowania egzekucyjne dotyczące opłat za wyłączenie z produkcji gruntów rolnych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</si>
  <si>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</si>
  <si>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</si>
  <si>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</si>
  <si>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</si>
  <si>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</si>
  <si>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</si>
  <si>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</si>
  <si>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100</t>
  </si>
  <si>
    <t>GÓRNICTWO I KOPALNICTWO</t>
  </si>
  <si>
    <t>10095</t>
  </si>
  <si>
    <t xml:space="preserve">b) dochody majątkowe </t>
  </si>
  <si>
    <t>150</t>
  </si>
  <si>
    <t>PRZETWÓRSTWO PRZEMYSŁOWE</t>
  </si>
  <si>
    <t>15011</t>
  </si>
  <si>
    <t>Rozwój przedsiębiorczości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</si>
  <si>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</si>
  <si>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 Program Operacyjny Kapitał Ludzki </t>
  </si>
  <si>
    <t xml:space="preserve">Zwrot części niewykorzystanych dotacji przez beneficjentów projektów realizowanych w ramach Regionalnego Programu Operacyjnego Województwa Podkarpackiego na lata 2014-2020 </t>
  </si>
  <si>
    <t xml:space="preserve">Zwrot przez partnera niewykorzystanej dotacji na realizację projektu pn. „Podkarpacka Platforma Wsparcia Biznesu” w ramach Regionalnego Programu Operacyjnego Województwa Podkarpackiego na lata 2014-2020 </t>
  </si>
  <si>
    <t>TRANSPORT I ŁĄCZNOŚĆ</t>
  </si>
  <si>
    <t>Pozostałe odsetki</t>
  </si>
  <si>
    <t>Zwrot podatku VAT od dostaw pojazdów szynowych</t>
  </si>
  <si>
    <t>Dotacja celowa otrzymana z Województwa Świętokrzyskiego na realizację na podstawie porozumienia połączeń kolejowych relacji Stalowa Wola - Sandomierz - Rzeszów</t>
  </si>
  <si>
    <t>Dotacje otrzymane z państwowych funduszy celowych na realizację zadań bieżących jednostek sektora finansów publicznych</t>
  </si>
  <si>
    <t>2440</t>
  </si>
  <si>
    <t>Zwrot wynikający z rocznego rozliczenia przez Przewozy Regionalne Sp. z o.o. rekompensaty należnej przewoźnikowi z tytułu wykonywania kolejowych przewozów osób</t>
  </si>
  <si>
    <t>2950</t>
  </si>
  <si>
    <t>Infrastruktura kolejowa</t>
  </si>
  <si>
    <t>a) dochody bieżące</t>
  </si>
  <si>
    <t>Środki pochodzące z budżetu Unii Europejskiej na realizację zadania pn.: "Budowa Podmiejskiej Kolei Aglomeracyjnej - PKA": budowa zaplecza technicznego w ramach Programu Operacyjnego Infrastruktura i Środowisko na lata 2014 - 2020</t>
  </si>
  <si>
    <t>Krajowe pasażerskie przewozy autobusowe</t>
  </si>
  <si>
    <t>Wpływy z odsetek od dotacji oraz płatności: wykorzystanych niezgodnie z przeznaczeniem lub wykorzystanych z naruszeniem procedur, o których mowa w art. 184 ustawy, pobranych nienależnie lub w nadmiernej wysokości</t>
  </si>
  <si>
    <t>0900</t>
  </si>
  <si>
    <t>Wpływy ze zwrotów dotacji oraz płatności wykorzystanych niezgodnie z przeznaczeniem lub wykorzystanych z naruszeniem procedur, o których mowa w art. 184 ustawy, pobranych nienależnie lub w nadmiernej wysokości</t>
  </si>
  <si>
    <t>Lokalny transport zbiorowy</t>
  </si>
  <si>
    <t xml:space="preserve">Opłaty za wydawanie zezwoleń na regularny przewóz osób </t>
  </si>
  <si>
    <t>0620</t>
  </si>
  <si>
    <t>Dochody realizowane przez Podkarpacki Zarząd Dróg Wojewódzkich w Rzeszowie</t>
  </si>
  <si>
    <t>0580</t>
  </si>
  <si>
    <t>0640</t>
  </si>
  <si>
    <t>Dotacja celowa z budżetu państwa z przeznaczeniem na dofinansowanie zadań z zakresu remontu, utrzymania i zarządzania drogami wojewódzkimi</t>
  </si>
  <si>
    <t>2230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</si>
  <si>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</si>
  <si>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</si>
  <si>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</si>
  <si>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 xml:space="preserve">Dochody realizowane przez Podkarpacki Zarząd Dróg Wojewódzkich w Rzeszowie </t>
  </si>
  <si>
    <t>Środki pochodzące z budżetu Unii Europejskiej na realizację inwestycji drogowych w ramach Programu Operacyjnego Polska Wschodnia na lata 2014-2020</t>
  </si>
  <si>
    <t>Środki pochodzące z budżetu Unii Europejskiej jako refundacja wydatków poniesionych ze środków własnych na realizację inwestycji drogowych w ramach Programu Operacyjnego Polska Wschodnia na lata 2014-2020</t>
  </si>
  <si>
    <t>Środki pochodzące z budżetu Unii Europejskiej jako refundacja wydatków poniesionych ze środków własnych na realizację projektów własnych w ramach Programu Współpracy Transgranicznej Interreg V-A Polska - Słowacja 2014-2020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</si>
  <si>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 </t>
  </si>
  <si>
    <t>Dotacja celowa otrzymana z tytułu pomocy finansowej udzielanej między jednostkami samorządu terytorialnego na dofinansowanie własnych zadań inwestycyjnych i zakupów inwestycyjnych</t>
  </si>
  <si>
    <t>Dochody z tytułu opłat za wpis do rejestru przedsiębiorców prowadzących pracownię psychologiczną, za wpis do ewidencji uprawnionych psychologów, za wpis do ewidencji uprawnionych lekarzy, opłaty za wpis do ewidencji egzaminatorów wynikające z ustawy o kierujących pojazdami</t>
  </si>
  <si>
    <t>Opłaty za trwały zarząd, użytkowanie i służebność</t>
  </si>
  <si>
    <t>0470</t>
  </si>
  <si>
    <t>Wpływy z opłat z tytułu użytkowania wieczystego nieruchomości</t>
  </si>
  <si>
    <t>0550</t>
  </si>
  <si>
    <t>Zwrot kosztów zastępstwa procesowego, zaliczki dla komornika za prowadzone egzekucje wobec zadłużonych najemców</t>
  </si>
  <si>
    <t xml:space="preserve">Dochody z najmu i dzierżawy składników majątkowych </t>
  </si>
  <si>
    <t>Odsetki od nieterminowych wpłat za dzierżawę, wieczyste użytkowanie nieruchomości stanowiące własność Województwa Podkarpackiego</t>
  </si>
  <si>
    <t>Zwrot podatku VAT i nadpłaty podatku rolnego za 2017 r.</t>
  </si>
  <si>
    <t>Zwrot kosztów sądowych, nadpłaty zaliczki na poczet biegłego, nadpłaconego wpisu sądowego oraz różnicy wynikającej z przeniesienia prawa własności</t>
  </si>
  <si>
    <t>Wpływy z tytułu przekształcenia prawa użytkowania wieczystego w prawo własności</t>
  </si>
  <si>
    <t>0760</t>
  </si>
  <si>
    <t>Dochody ze sprzedaży mienia będącego w zasobie Województwa</t>
  </si>
  <si>
    <t>0770</t>
  </si>
  <si>
    <t xml:space="preserve">Wpływy z tytułu odszkodowania za przejęte nieruchomości pod inwestycje drogowe </t>
  </si>
  <si>
    <t>0800</t>
  </si>
  <si>
    <t>Zwrot niewykorzystanej dotacji celowej na pomoc finansową przez Gminę Sośno</t>
  </si>
  <si>
    <t>6690</t>
  </si>
  <si>
    <t>DZIAŁALNOŚĆ USŁUGOWA</t>
  </si>
  <si>
    <t>Biura planowania przestrzennego</t>
  </si>
  <si>
    <t xml:space="preserve">Dochody realizowane przez Podkarpackie Biuro Planowania Przestrzennego w Rzeszowie </t>
  </si>
  <si>
    <t>Prace geologiczne (nieinwestycyjne)</t>
  </si>
  <si>
    <t>Zadania z zakresu geodezji i kartografii</t>
  </si>
  <si>
    <t xml:space="preserve">Dochody realizowane przez Wojewódzki Ośrodek Dokumentacji Geodezyjnej i Kartograficznej w Rzeszowie </t>
  </si>
  <si>
    <t>Odsetki od zwrotu części dotacji wykorzystanych niezgodnie z przeznaczeniem pobranych nienależnie lub w nadmiernej wysokości przez Partnerów projektu pn.: "Podkarpacki System Informacji Przestrzennej (PSIP)" realizowanego w ramach Regionalnego Programu Operacyjnego Województwa Podkarpackiego na lata 2014 - 2020</t>
  </si>
  <si>
    <t>0909</t>
  </si>
  <si>
    <t>Dotacja celowa z budżetu państwa na realizację projektu pn.: "Podkarpacki System Informacji Przestrzennej (PSIP)" realizowanego w ramach Regionalnego Programu Operacyjnego Województwa Podkarpackiego na lata 2014 - 2020</t>
  </si>
  <si>
    <t>2059</t>
  </si>
  <si>
    <t>2210</t>
  </si>
  <si>
    <t>Zwrot części dotacji wykorzystanych niezgodnie z przeznaczeniem pobranych nienależnie lub w nadmiernej wysokości przez Partnerów projektu pn.: "Podkarpacki System Informacji Przestrzennej (PSIP)" realizowanego w ramach Regionalnego Programu Operacyjnego Województwa Podkarpackiego na lata 2014 - 2020</t>
  </si>
  <si>
    <t>2917</t>
  </si>
  <si>
    <t>INFORMATYKA</t>
  </si>
  <si>
    <t xml:space="preserve">Odsetki od nieterminowych opłat </t>
  </si>
  <si>
    <t xml:space="preserve">Zwrot podatku VAT od refundacji opłat za dysponowanie nieruchomościami w związku z utrzymaniem infrastruktury wytworzonej w ramach projektu pn.: "Sieć Szerokopasmowa Polski Wschodniej - Województwo Podkarpackie" 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</si>
  <si>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</si>
  <si>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 xml:space="preserve">Wpływ z tytułu zbycia praw majątkowych </t>
  </si>
  <si>
    <t>0780</t>
  </si>
  <si>
    <t>NAUKA</t>
  </si>
  <si>
    <t xml:space="preserve">Zwrot nadpłaconych wydatków w ramach realizacji projektu pn.: "Inteligentne specjalizacje - narzędzie wzrostu innowacyjności i konkurencyjności województwa podkarpackiego" w ramach Regionalnego Programu Operacyjnego Województwa Podkarpackiego na lata 2014-2020 </t>
  </si>
  <si>
    <t>0947</t>
  </si>
  <si>
    <t xml:space="preserve">Wpływ kar w związku z nieprawidłowym wykonaniem przedmiotu umów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</si>
  <si>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"Żywe laboratorium polityki publicznej" w ramach Programu INTERREG EUROPA 2014-2020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</si>
  <si>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</si>
  <si>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</si>
  <si>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Samorządowe sejmiki województw</t>
  </si>
  <si>
    <t>Dochody realizowane przez Urząd Marszałkowski Województwa Podkarpackiego</t>
  </si>
  <si>
    <t>Urzędy marszałkowskie</t>
  </si>
  <si>
    <t xml:space="preserve">Dotacje celowe otrzymane z budżetu państwa na realizację bieżących zadań własnych samorządu województwa </t>
  </si>
  <si>
    <t>Dotacja celowa z Funduszu Pracy na obsługę staży podyplomowych lekarzy i lekarzy dentystów</t>
  </si>
  <si>
    <t>Komisje egzaminacyjne</t>
  </si>
  <si>
    <t>Promocja jednostek samorządu terytorialnego</t>
  </si>
  <si>
    <t>Środki pochodzące z budżetu Unii Europejskiej jako refundacja wydatków poniesionych ze środków własnych na realizację projektu pn. "Szlak Maryjny (Światło ze Wschodu)" w ramach Programu Współpracy Transgranicznej INTERREG V-A Polska - Słowacja 2014-2020</t>
  </si>
  <si>
    <t>2058</t>
  </si>
  <si>
    <t>Środki pochodzące z budżetu Unii Europejskiej jako refundacja wydatków poniesionych ze środków własnych na realizację projektu pn. "Szlak Kultury Wołoskiej" w ramach Programu Współpracy Transgranicznej INTERREG V-A Polska - Słowacja 2014-2020</t>
  </si>
  <si>
    <t>Środki pochodzące z budżetu Unii Europejskiej jako refundacja wydatków poniesionych ze środków własnych na realizację projektu pn. "Szlakiem obiektów UNESCO na pograniczu polsko - słowackim" w ramach Programu Współpracy Transgranicznej INTERREG V-A Polska - Słowacja 2014-2020</t>
  </si>
  <si>
    <t>Środki pochodzące z budżetu Unii Europejskiej jako refundacja wydatków poniesionych ze środków własnych na realizację projektu pn. "Świat karpackich rozet - działania na rzecz rozwoju zachowania kulturowej unikalności Karpat" w ramach Programu Współpracy Transgranicznej INTERREG V-A Polska - Słowacja 2014-2020</t>
  </si>
  <si>
    <t>Środki pochodzące z budżetu Unii Europejskiej jako refundacja wydatków poniesionych ze środków własnych na realizację projektu pn. "W sercu Karpat - granica, która łączy" w ramach Programu Współpracy Transgranicznej INTERREG V-A Polska - Słowacja 2014-2020</t>
  </si>
  <si>
    <t>Dotacja celowa z budżetu państwa jako refundacja wydatków poniesionych ze środków własnych na realizację projektu pn. "Szlakiem obiektów UNESCO na pograniczu polsko - słowackim" w ramach Programu Współpracy Transgranicznej INTERREG V-A Polska - Słowacja 2014-2020</t>
  </si>
  <si>
    <t>Dotacja celowa z budżetu państwa jako refundacja wydatków poniesionych ze środków własnych na realizację projektu pn. "W sercu Karpat - granica, która łączy" w ramach Programu Współpracy Transgranicznej INTERREG V-A Polska - Słowacja 2014-2020</t>
  </si>
  <si>
    <t>Zwrot przez Województwo Warmińsko - Mazurskie części niewykorzystanej dotacji na dofinansowanie zadań związanych z funkcjonowaniem Domu Polski Wschodniej w Brukseli</t>
  </si>
  <si>
    <t>Środki pochodzące z budżetu państwa jako refundacja wydatków poniesionych ze środków własnych na realizację projektu pn. "W sercu Karpat - granica, która łączy" w ramach Programu Współpracy Transgranicznej INTERREG V-A Polska - Słowacja 2014-2020</t>
  </si>
  <si>
    <t>Pomoc zagraniczna</t>
  </si>
  <si>
    <t>Dotacje celowe otrzymane z budżetu państwa na zadania bieżące realizowane przez samorząd województwa na podstawie porozumień z organami administracji rządowej</t>
  </si>
  <si>
    <t>Dotacje celowe otrzymane z budżetu państwa na inwestycje i zakupy inwestycyjne realizowane przez samorząd województwa na podstawie porozumień z organami administracji rządowej</t>
  </si>
  <si>
    <t>Funkcjonowanie wojewódzkich rad dialogu społecznego</t>
  </si>
  <si>
    <t>Środki pochodzące z budżetu Unii Europejskiej na realizację projektu pn. „Punkty Informacyjne Funduszy Europejskich” w ramach Programu Operacyjnego Pomoc Techniczna na lata 2014-2020</t>
  </si>
  <si>
    <t>Środki pochodzące z budżetu Unii Europejskiej na realizację projektu pn. „10 lat PIFE” w ramach Programu Operacyjnego Pomoc Techniczna na lata 2014-2020</t>
  </si>
  <si>
    <t>Środki pochodzące z budżetu Unii Europejskiej na realizację projektu pn.: "Kondycja społeczno - gospodarcza rodzin z uwzględnieniem zjawiska depopulacji" w ramach Programu Operacyjnego Pomoc Techniczna na lata 2014-2020</t>
  </si>
  <si>
    <t>Środki pochodzące z budżetu Unii Europejskiej na realizację projektu pn."Projekt wsparcia jednostek samorządu terytorialnego w opracowaniu lub aktualizacji programów rewitalizacji" w ramach Programu Operacyjnego Pomoc Techniczna na lata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</si>
  <si>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</si>
  <si>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 „10 LAT PIFE” w ramach Programu Operacyjnego Pomoc Techniczna na lata 2014-2020</t>
  </si>
  <si>
    <t>Dotacja celowa z budżetu państwa na realizację projektu pn.: "Kondycja społeczno - gospodarcza rodzin z uwzględnieniem zjawiska depopulacji" w ramach Programu Operacyjnego Pomoc Techniczna na lata 2014-2020</t>
  </si>
  <si>
    <t>Dotacja celowa z budżetu państwa na realizację projektu pn. "Projekt wsparcia jednostek samorządu terytorialnego w opracowaniu lub aktualizacji programów rewitalizacji" w ramach Programu Operacyjnego Pomoc Techniczna na lata 2014-2020</t>
  </si>
  <si>
    <t>Środki pochodzące z budżetu Unii Europejskiej jako refundacja wydatków poniesionych ze środków własnych na realizację projektu pn. "Partnerstwo dla wspólnego rozwoju" w ramach Pomocy Technicznej Programu Współpracy Transgranicznej INTERREG V-A Polska - Słowacja 2014-2020</t>
  </si>
  <si>
    <t>Środki pochodzące z budżetu Unii Europejskiej na realizację projektu pn.: "Funkcjonowanie Oddziału Programu Współpracy Transgranicznej EIS Polska - Białoruś - Ukraina 2014-2020 w Rzeszowie" w ramach Programu Współpracy Transgranicznej Polska - Białoruś - Ukraina 2014-2020</t>
  </si>
  <si>
    <t>Dotacja celowa z budżetu państwa jako refundacja wydatków poniesionych ze środków własnych na realizację projektu pn. "Partnerstwo dla wspólnego rozwoju" w ramach Pomocy Technicznej Programu Współpracy Transgranicznej INTERREG V-A Polska - Słowacja 2014-2020</t>
  </si>
  <si>
    <t>Dotacja celowa otrzymane z tytułu pomocy finansowej udzielanej między jednostkami samorządu terytorialnego na dofinansowanie własnych zadań inwestycyjnych i zakupów inwestycyjnych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</si>
  <si>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</si>
  <si>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powiatowe, wojewódzkie</t>
  </si>
  <si>
    <t>Zadania ratownictwa górskiego i wodnego</t>
  </si>
  <si>
    <t xml:space="preserve">Zwrot przez Górskie Ochotnicze Pogotowie Ratunkowe w Zakopanem – Grupę Regionalnego Górskiego Ochotniczego Pogotowia Ratunkowego – Grupę Bieszczadzką z siedzibą w Sanoku części niewykorzystanej dotacji na realizację zadania publicznego pn. „Poprawa bezpieczeństwa turystów w górach położonych na terenie województwa podkarpackiego w 2017 r.”. </t>
  </si>
  <si>
    <t>DOCHODY OD OSÓB PRAWNYCH, OD OSÓB FIZYCZNYCH I OD INNYCH JEDNOSTEK NIE POSIADAJĄCYCH OSOBOWOŚCI PRAWNEJ ORAZ WYDATKI ZWIĄZANE Z ICH POBOREM</t>
  </si>
  <si>
    <t>Opłaty eksploatacyjne za wydobywanie węglowodorów ze złóż zlokalizowanych na terenie województwa podkarpackiego</t>
  </si>
  <si>
    <t>0460</t>
  </si>
  <si>
    <t>Opłaty za zezwolenia na hurtową sprzedaż alkoholu</t>
  </si>
  <si>
    <t>Opłaty koncesyjne za poszukiwanie lub rozpoznawanie złóż węglowodorów oraz za wydobywanie węglowodorów ze złóż na terenie województwa podkarpackiego</t>
  </si>
  <si>
    <t>0590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</si>
  <si>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</si>
  <si>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</si>
  <si>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</si>
  <si>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</si>
  <si>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</si>
  <si>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</si>
  <si>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</si>
  <si>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</si>
  <si>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</si>
  <si>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</si>
  <si>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a) dochody bieżące,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</si>
  <si>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</si>
  <si>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</si>
  <si>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</si>
  <si>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>Odsetki od środków na rachunkach bankowych oraz lokat terminowych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</si>
  <si>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</si>
  <si>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</si>
  <si>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</si>
  <si>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</si>
  <si>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Dotacja celowa z budżetu państwa na współfinansowanie projektów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</si>
  <si>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</si>
  <si>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realizowanych w ramach  Regionalnego Programu Operacyjnego Województwa Podkarpackiego na lata 2014 - 2020</t>
  </si>
  <si>
    <t>Dotacja celowa z budżetu państwa jako refundacja wydatków poniesionych ze środków własnych na współfinansowanie projektów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</si>
  <si>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</si>
  <si>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Regionalne Programy Operacyjne 2014 - 2020 finansowane 
z udziałem środków Europejskiego Funduszu Społecznego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</si>
  <si>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</si>
  <si>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</si>
  <si>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własnych 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</si>
  <si>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</si>
  <si>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Szkoły podstawowe specjalne</t>
  </si>
  <si>
    <t>Dochody realizowane przez jednostki oświatowe</t>
  </si>
  <si>
    <t>Wpływy do budżetu niewykorzystanych środków finansowych gromadzonych na wydzielonym rachunku jednostki budżetowej</t>
  </si>
  <si>
    <t>2400</t>
  </si>
  <si>
    <t>Szkoły policealne</t>
  </si>
  <si>
    <t>Szkoły zawodowe</t>
  </si>
  <si>
    <t>Dokształcanie i doskonalenie nauczycieli</t>
  </si>
  <si>
    <t>Środki pochodzące z budżetu Unii Europejskiej na realizację projektu pn.: "Razem odkryjmy świat programowania - szkolenia dla nauczycieli i uczniów z podregionu rzeszowskiego" w ramach Programu Operacyjnego Polska Cyfrowa na lata 2014 - 2020</t>
  </si>
  <si>
    <t>2057</t>
  </si>
  <si>
    <t>Środki pochodzące z budżetu Unii Europejskiej na realizację projektu pn.: "Razem odkryjmy świat programowania - szkolenia dla nauczycieli i uczniów z podregionu krośnieńskiego" w ramach Programu Operacyjnego Polska Cyfrowa na lata 2014 - 2020</t>
  </si>
  <si>
    <t>Środki pochodzące z budżetu Unii Europejskiej na realizację projektu pn.: "Razem odkryjmy świat programowania - szkolenia dla nauczycieli i uczniów z podregionu przemyskiego" w ramach Programu Operacyjnego Polska Cyfrowa na lata 2014 - 2020</t>
  </si>
  <si>
    <t>Środki pochodzące z budżetu Unii Europejskiej na realizację projektu pn.: "Technologia informatyczna w szkole po obu stronach granicy" w ramach Programu Współpracy Transgranicznej Interreg V-A Polska - Słowacja na lata 2014 - 2020</t>
  </si>
  <si>
    <t>Dotacja celowa z budżetu państwa na realizację projektu pn.: "Razem odkryjmy świat programowania - szkolenia dla nauczycieli i uczniów z podregionu przemyskiego" w ramach Programu Operacyjnego Polska Cyfrowa na lata 2014 - 2020</t>
  </si>
  <si>
    <t>Dotacja celowa z budżetu państwa na realizację projektu pn.: "Razem odkryjmy świat programowania - szkolenia dla nauczycieli i uczniów z podregionu krośnieńskiego" w ramach Programu Operacyjnego Polska Cyfrowa na lata 2014 - 2021</t>
  </si>
  <si>
    <t>Dotacja celowa z budżetu państwa jako refundacja wydatków poniesionych ze środków własnych na realizację projektu pn. "Technologia informatyczna w szkole po obu stronach granicy" w ramach Programu Współpracy Transgranicznej Interreg V-A Polska - Słowacja na lata 2014 - 2020</t>
  </si>
  <si>
    <t>Dotacja celowa z budżetu państwa na realizację projektu pn.: "Razem odkryjmy świat programowania - szkolenia dla nauczycieli i uczniów z podregionu rzeszowskiego" w ramach Programu Operacyjnego Polska Cyfrowa na lata 2014 - 2020</t>
  </si>
  <si>
    <t>Biblioteki pedagogiczne</t>
  </si>
  <si>
    <t xml:space="preserve">Dochody realizowane przez jednostki oświatowe </t>
  </si>
  <si>
    <t>Wpłaty do budżetu niewykorzystanych środków finansowych gromadzonych na wydzielonym rachunku przez jednostki oświatowe</t>
  </si>
  <si>
    <t>Zapewnienie uczniom prawa do bezpłatnego dostępu do podręczników, materiałów edukacyjnych lub materiałów ćwiczeniowych</t>
  </si>
  <si>
    <t xml:space="preserve">Środki pochodzące z budżetu Unii Europejskiej na realizację projektu pn. " Rozwijanie profesjonalizmu" w ramach Programu ERASMUS+ </t>
  </si>
  <si>
    <t>2001</t>
  </si>
  <si>
    <t xml:space="preserve">Środki pochodzące z budżetu Unii Europejskiej jako refundacja wydatków poniesionych ze środków własnych na realizację projektu pn. " Rozwijanie profesjonalizmu" w ramach Programu ERASMUS+ </t>
  </si>
  <si>
    <t>2051</t>
  </si>
  <si>
    <t xml:space="preserve">Środki pochodzące z budżetu Unii Europejskiej jako refundacja wydatków poniesionych ze środków własnych na realizację projektu pn. "Europa w szkole szpitalnej" w ramach Programu ERASMUS+ </t>
  </si>
  <si>
    <t>Zwrot niewykorzystanych dotacji oraz części dotacji wykorzystanych niezgodnie z przeznaczeniem, pobranych nienależnie lub w nadmiernej wysokości przyznanych na dofinansowanie zadań własnych realizowanych przez organizacje pozarządowe z udziałem środków zewnętrznych</t>
  </si>
  <si>
    <t>2919</t>
  </si>
  <si>
    <t>Wpływy ze zwrotów niewykorzystanych dotacji oraz płatności</t>
  </si>
  <si>
    <t>2959</t>
  </si>
  <si>
    <t>6699</t>
  </si>
  <si>
    <t>SZKOLNICTWO WYŻSZE</t>
  </si>
  <si>
    <t>Pomoc materialna dla studentów i doktorantów</t>
  </si>
  <si>
    <t>Odsetki stanowiące przychód na projekcie pn.: "Podkarpacki fundusz stypendialny dla doktorantów"</t>
  </si>
  <si>
    <t>0929</t>
  </si>
  <si>
    <t>Szpitale ogólne</t>
  </si>
  <si>
    <t>Wpływy z odsetek od dotacji oraz płatności:  wykorzystanych niezgodnie z przeznaczeniem lub wykorzystanych z naruszeniem procedur, o których mowa w art. 184 ustawy, pobranych nienależnie lub w nadmiernej wysokości</t>
  </si>
  <si>
    <t xml:space="preserve">Dotacje celowe otrzymane z budżetu państwa na realizację inwestycji i zakupów inwestycyjnych własnych samorządu województwa </t>
  </si>
  <si>
    <t>Zwrot części niewykorzystanej dotacji na zadania z zakresu zdrowia</t>
  </si>
  <si>
    <t>Lecznictwo ambulatoryjne</t>
  </si>
  <si>
    <t>Ratownictwo medyczne</t>
  </si>
  <si>
    <t>Dotacje celowe otrzymane z budżetu państwa na inwestycje i zakupy inwestycyjne z zakresu administracji rządowej oraz inne zadania zlecone ustawami realizowane przez samorząd województwa</t>
  </si>
  <si>
    <t xml:space="preserve">Dotacje celowe otrzymane z budżetu państwa na realizację inwestycji i zakupów inwestycyjnych  własnych samorządu województwa </t>
  </si>
  <si>
    <t>Programy polityki zdrowotnej</t>
  </si>
  <si>
    <t>Zwrot dotacji wykorzystanych niezgodnie z przeznaczeniem, pobranych nienależnie lub w nadmiernej wysokości na realizację zadań z zakresu przeciwdziałania narkomanii wraz z odsetkami</t>
  </si>
  <si>
    <t>Przeciwdziałanie alkoholizmowi</t>
  </si>
  <si>
    <t>Zwrot dotacji wykorzystanych niezgodnie z przeznaczeniem, pobranych nienależnie lub w nadmiernej wysokości na realizację zadań z zakresu przeciwdziałania alkoholizmowi wraz z odsetkami</t>
  </si>
  <si>
    <t>Składki na ubezpieczenie zdrowotne oraz świadczenia dla osób nieobjętych obowiązkiem ubezpieczenia zdrowotnego</t>
  </si>
  <si>
    <t>Dotacje celowe otrzymane z budżetu państwa na realizację bieżących zadań własnych samorządu województwa</t>
  </si>
  <si>
    <t>Regionalne ośrodki polityki społecznej</t>
  </si>
  <si>
    <t>Dochody realizowane przez Regionalny Ośrodek Polityki Społecznej w Rzeszowie</t>
  </si>
  <si>
    <t>Środki pochodzące z budżetu Unii Europejskiej na realizację projektu pn. "Liderzy kooperacji" w ramach Programu Operacyjnego Wiedza Edukacja Rozwój na lata 2014-2020</t>
  </si>
  <si>
    <t>Dotacja celowa z budżetu państwa na realizację projektu pn. "Liderzy kooperacji" w ramach Programu Operacyjnego Wiedza Edukacja Rozwój na lata 2014-2020</t>
  </si>
  <si>
    <t>Środki pochodzące z budżetu Unii Europejskiej jako refundacja wydatków poniesionych ze środków własnych na realizację projektu pn. "CE 985 SENTINEL - rozwój i umacnianie pozycji przedsiębiorstw społecznych w celu maksymalnego zwiększenia ich wpływu na sektor ekonomiczny i społeczny w państwach Europy Środkowej" w ramach programu Interreg Europa Środkowa na lata 2014 - 2020</t>
  </si>
  <si>
    <t>Zwrot części niewykorzystanych dotacji przez beneficjentów projektów realizowanych w ramach Regionalnego Programu Operacyjnego Województwa Podkarpackiego na lata 2014-2020</t>
  </si>
  <si>
    <t>POZOSTAŁE ZADANIA W ZAKRESIE POLITYKI SPOŁECZNEJ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</si>
  <si>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</si>
  <si>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</si>
  <si>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</si>
  <si>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0959</t>
  </si>
  <si>
    <t>Dotacja celowa z budżetu państwa na współfinansowanie projektów w ramach Programu Operacyjnego Wiedza, Edukacja, Rozwój na lata 2014 - 2020</t>
  </si>
  <si>
    <t>2009</t>
  </si>
  <si>
    <t>Dotacja celowa z budżetu państwa na finansowanie wydatków objętych Pomocą Techniczną Programu Operacyjnego Wiedza, Edukacja, Rozwój na lata 2014 - 2020</t>
  </si>
  <si>
    <t>Środki z Funduszu Gwarantowanych Świadczeń Pracowniczych</t>
  </si>
  <si>
    <t>Środki pochodzące z budżetu Unii Europejskiej na realizację projektu pn.: „Standardy w zakresie mieszkalnictwa wspomaganego dla osób chorujących psychicznie po wielokrotnych pobytach w szpitalach psychiatrycznych" w ramach Programu Operacyjnego Wiedza, Edukacja, Rozwój na lata 2014-2020</t>
  </si>
  <si>
    <t xml:space="preserve">Dotacja celowa z budżetu państwa na współfinansowanie wydatków na realizację projektu pn.: „Standardy w zakresie mieszkalnictwa wspomaganego dla osób chorujących psychicznie po wielokrotnych pobytach w szpitalach psychiatrycznych" w ramach Programu Operacyjnego Wiedza, Edukacja, Rozwój na lata 2014-2020 </t>
  </si>
  <si>
    <t>Zwrot części dotacji wykorzystanych niezgodnie z przeznaczeniem, pobranych nienależnie lub w nadmiernej wysokości przez beneficjentów projektów realizowanych w ramach Programu Operacyjnego Kapitał Ludzki</t>
  </si>
  <si>
    <t>Zwrot części niewykorzystanych dotacji przez beneficjentów projektów realizowanych w ramach Programu Operacyjnego Wiedza, Edukacja, Rozwój na lata 2014 - 2020</t>
  </si>
  <si>
    <t>Internaty i bursy szkolne</t>
  </si>
  <si>
    <t>Świadczenia rodzinne, świadczenie z funduszu alimentacyjnego oraz składki na ubezpieczenia emerytalne i rentowe z ubezpieczenia społecznego</t>
  </si>
  <si>
    <t>Wspieranie rodziny</t>
  </si>
  <si>
    <t>Środki pochodzące z budżetu Unii Europejskiej na realizację projektu pn. „Bliżej rodziny - szkolenia dla kadr systemów wspierania rodziny i pieczy zastępczej” w ramach Programu Operacyjnego Wiedza Edukacja Rozwój na lata 2014-2020</t>
  </si>
  <si>
    <t>2007</t>
  </si>
  <si>
    <t>Dotacja celowa z budżetu państwa na realizację projektu pn.:  „Bliżej rodziny - szkolenia dla kadr systemów wspierania rodziny i pieczy zastępczej” w ramach Programu Operacyjnego Wiedza Edukacja Rozwój na lata 2014-2020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</si>
  <si>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</si>
  <si>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</si>
  <si>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</si>
  <si>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Wpływy ze zwrotów dotacji oraz płatności wykorzystanych niezgodnie z przeznaczeniem lub wykorzystanych z naruszeniem procedur, o których mowa w art.. 184 ustawy, pobranych nienależnie lub w nadmiernej wysokości</t>
  </si>
  <si>
    <t>Ochrona powietrza atmosferycznego i klimatu</t>
  </si>
  <si>
    <t>2460</t>
  </si>
  <si>
    <t xml:space="preserve">3% wpływu z tytułu opłat za korzystanie ze środowiska </t>
  </si>
  <si>
    <t xml:space="preserve">2% i 10% wpływu z tytułu opłaty produktowej oraz dodatkowej opłaty produktowej </t>
  </si>
  <si>
    <t xml:space="preserve">5 % wpływu z tytułu opłat za nieosiągnięcie wymaganego poziomu odzysku i recyklingu odpadów pochodzących z pojazdów wycofanych z eksploatacji </t>
  </si>
  <si>
    <t xml:space="preserve">10% wpływu z tytułu opłaty produktowej oraz dodatkowej opłaty produktowej </t>
  </si>
  <si>
    <t xml:space="preserve">Wpływy i wydatki związane z wprowadzeniem do obrotu baterii i akumulatorów </t>
  </si>
  <si>
    <t>5% wpływu z tytułu opłat za wprowadzanie do obrotu baterii i akumulatorów</t>
  </si>
  <si>
    <t>Wpływy z tytułu pomocy finansowej udzielanej między jednostkami samorządu terytorialnego na dofinansowanie własnych zadań bieżących</t>
  </si>
  <si>
    <t>Zwrot części niewykorzystanych dotacji na realizację zadań z zakresu kultury</t>
  </si>
  <si>
    <t>Zwrot części niewykorzystanych dotacji na realizację zadań z zakresu kultury wraz z odsetkami</t>
  </si>
  <si>
    <t>Pozostałe instytucje kultury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</si>
  <si>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</si>
  <si>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</si>
  <si>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</si>
  <si>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Odsetki od części niewykorzystanej dotacji na realizację zadań z zakresu kultury</t>
  </si>
  <si>
    <t>Środki pochodzące z budżetu Unii Europejskiej jako refundacja wydatków poniesionych ze środków własnych na realizację projektu pn.: "CRinMA- Cultural Resources in the Mountain Area" w ramach Programu Interreg Europa na lata 2014 - 2020</t>
  </si>
  <si>
    <t>Zwrot części niewykorzystanej dotacji na zadania z zakresu kultury</t>
  </si>
  <si>
    <t>6660</t>
  </si>
  <si>
    <t>OGRODY BOTANICZNE I ZOOLOGICZNE ORAZ NATURALNE OBSZARY I OBIEKTY CHRONIONEJ PRZYRODY</t>
  </si>
  <si>
    <t>Parki krajobrazowe</t>
  </si>
  <si>
    <t>Dochody realizowane przez Zespół Karpackich Parków Krajobrazowych w Krośnie</t>
  </si>
  <si>
    <t>Wpływ odszkodowania z tytułu zwrotu kosztów naprawy uszkodzonej tablicy informacyjnej</t>
  </si>
  <si>
    <t>Odsetki od części niewykorzystanych dotacji na zadania z zakresu kultury fizycznej i sportu</t>
  </si>
  <si>
    <t>Zwrot przez organizacje pozarządowe części niewykorzystanych dotacji na zadania z zakresu kultury fizycznej i sportu</t>
  </si>
  <si>
    <t>Zwrot części niewykorzystanej dotacji na zadania z zakresu kultury fizycznej</t>
  </si>
  <si>
    <t>DOCHODY OGÓŁEM</t>
  </si>
  <si>
    <t>w tym:</t>
  </si>
  <si>
    <t>dochody bieżące</t>
  </si>
  <si>
    <t>dochody majątkowe</t>
  </si>
  <si>
    <t>Zestawienie wykonania wydatków województwa 
 (według działów, rozdziałów, paragrafów klasyfikacji budżetowej oraz rodzajów wydatków)</t>
  </si>
  <si>
    <t>Wyszczególnienie</t>
  </si>
  <si>
    <t>Plan na 2018 r.</t>
  </si>
  <si>
    <t>Rolnictwo i łowiectwo</t>
  </si>
  <si>
    <t>Biura geodezji i terenów rolnych</t>
  </si>
  <si>
    <t>wydatki bieżące:</t>
  </si>
  <si>
    <t>wydatki jednostek budżetowych w tym na:</t>
  </si>
  <si>
    <t xml:space="preserve"> - wynagrodzenia i składki od nich naliczane</t>
  </si>
  <si>
    <t>Wynagrodzenia osobowe pracowników</t>
  </si>
  <si>
    <t>4040</t>
  </si>
  <si>
    <t>Dodatkowe wynagrodzenie roczne</t>
  </si>
  <si>
    <t>Składki na ubezpieczenia społeczne</t>
  </si>
  <si>
    <t>Składki na Fundusz Pracy</t>
  </si>
  <si>
    <t>4170</t>
  </si>
  <si>
    <t>Wynagrodzenia bezosobowe</t>
  </si>
  <si>
    <t xml:space="preserve"> - wydatki związane z realizacją zadań statutowych jednostek budżetowych</t>
  </si>
  <si>
    <t>4140</t>
  </si>
  <si>
    <t>Wpłaty na Państwowy Fundusz Rehabilitacji Osób Niepełnosprawnych</t>
  </si>
  <si>
    <t>Zakup materiałów i wyposażenia</t>
  </si>
  <si>
    <t>4220</t>
  </si>
  <si>
    <t>Zakup środków żywności</t>
  </si>
  <si>
    <t>4260</t>
  </si>
  <si>
    <t>Zakup energii</t>
  </si>
  <si>
    <t>Zakup usług remontowych</t>
  </si>
  <si>
    <t>4280</t>
  </si>
  <si>
    <t>Zakup usług zdrowotnych</t>
  </si>
  <si>
    <t>Zakup usług pozostałych</t>
  </si>
  <si>
    <t>4360</t>
  </si>
  <si>
    <t>Opłaty z tytułu zakupu usług telekomunikacyjnych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</si>
  <si>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</si>
  <si>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</si>
  <si>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</si>
  <si>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</si>
  <si>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</si>
  <si>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</si>
  <si>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</si>
  <si>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</si>
  <si>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</si>
  <si>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</si>
  <si>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</si>
  <si>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</si>
  <si>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</si>
  <si>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</si>
  <si>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</si>
  <si>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</si>
  <si>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</t>
  </si>
  <si>
    <t xml:space="preserve">Szkolenia pracowników niebędących członkami korpusu służby cywilnej </t>
  </si>
  <si>
    <t>świadczenia na rzecz osób fizycznych:</t>
  </si>
  <si>
    <t>3020</t>
  </si>
  <si>
    <t>Wydatki osobowe niezaliczone do wynagrodzeń</t>
  </si>
  <si>
    <t>wydatki majątkowe:</t>
  </si>
  <si>
    <t>inwestycje i zakupy inwestycyjne</t>
  </si>
  <si>
    <t>Wydatki inwestycyjne jednostek budżetowych</t>
  </si>
  <si>
    <t>4610</t>
  </si>
  <si>
    <t>Koszty postępowania sądowego i prokuratorskiego</t>
  </si>
  <si>
    <t>4500</t>
  </si>
  <si>
    <t>Pozostałe podatki na rzecz budżetów jednostek samorządu terytorialnego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</si>
  <si>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</si>
  <si>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Zwrot niewykorzystanych dotacji oraz płatności</t>
  </si>
  <si>
    <t>- wydatki na programy finansowane z udziałem środków UE i źródeł zagranicznych</t>
  </si>
  <si>
    <t xml:space="preserve">Program Rozwoju Obszarów Wiejskich </t>
  </si>
  <si>
    <t>wydatki na programy finansowane z udziałem środków UE i źródeł zagranicznych</t>
  </si>
  <si>
    <t>2008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</si>
  <si>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</si>
  <si>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</si>
  <si>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</si>
  <si>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</si>
  <si>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</si>
  <si>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</si>
  <si>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</si>
  <si>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</si>
  <si>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</si>
  <si>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</si>
  <si>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</si>
  <si>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</si>
  <si>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4198</t>
  </si>
  <si>
    <t>Nagrody konkursowe</t>
  </si>
  <si>
    <t>4199</t>
  </si>
  <si>
    <t>4218</t>
  </si>
  <si>
    <t>4219</t>
  </si>
  <si>
    <t>4278</t>
  </si>
  <si>
    <t>4279</t>
  </si>
  <si>
    <t>4308</t>
  </si>
  <si>
    <t>4309</t>
  </si>
  <si>
    <t>4398</t>
  </si>
  <si>
    <t>4399</t>
  </si>
  <si>
    <t>4418</t>
  </si>
  <si>
    <t>4419</t>
  </si>
  <si>
    <t>4438</t>
  </si>
  <si>
    <t>4439</t>
  </si>
  <si>
    <t>4708</t>
  </si>
  <si>
    <t>4709</t>
  </si>
  <si>
    <t>dotacje na zadania bieżące: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</si>
  <si>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</si>
  <si>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</si>
  <si>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</si>
  <si>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</si>
  <si>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</si>
  <si>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</si>
  <si>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4590</t>
  </si>
  <si>
    <t>Kary i odszkodowania wypłacane na rzecz osób fizycznych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</si>
  <si>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</si>
  <si>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</si>
  <si>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Program Operacyjny Zrównoważony rozwój sektora rybołówstwa i nadbrzeżnych obszarów rybackich 2007-2013 oraz Program Operacyjny Rybactwo i Morze 2014-2020</t>
  </si>
  <si>
    <t>2918</t>
  </si>
  <si>
    <t xml:space="preserve">Zwrot dotacji oraz płatności wykorzystanych niezgodnie z przeznaczeniem lub wykorzystanych z naruszeniem procedur, o których mowa w art.. 184 ustawy, pobranych nienależnie lub w nadmiernej wysokości </t>
  </si>
  <si>
    <t>Zakup usług obejmujących wykonywanie ekspertyz, analiz i opinii</t>
  </si>
  <si>
    <t>4569</t>
  </si>
  <si>
    <t>Odsetki od dotacji oraz płatności: wykorzystanych niezgodnie z przeznaczeniem lub wykorzystanych z naruszeniem procedur, o których mowa w art. 184 ustawy, pobranych nienależnie lub w nadmiernej wysokości</t>
  </si>
  <si>
    <t>Przetwórstwo przemysłowe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</si>
  <si>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</si>
  <si>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Zwroty dotacji oraz płatności wykorzystanych niezgodnie z przeznaczeniem lub wykorzystanych z naruszeniem procedur, o których mowa w art. 184 ustawy, pobranych nienależnie lub w nadmiernej wysokości</t>
  </si>
  <si>
    <t>2957</t>
  </si>
  <si>
    <t>4017</t>
  </si>
  <si>
    <t>4117</t>
  </si>
  <si>
    <t>4127</t>
  </si>
  <si>
    <t>4217</t>
  </si>
  <si>
    <t>4307</t>
  </si>
  <si>
    <t>4417</t>
  </si>
  <si>
    <t>4707</t>
  </si>
  <si>
    <t>6067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</si>
  <si>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</si>
  <si>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</si>
  <si>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6209</t>
  </si>
  <si>
    <t>6259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</si>
  <si>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</si>
  <si>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Rozwój kadr nowoczesnej gospodarki i przedsiębiorczości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</si>
  <si>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</si>
  <si>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6697</t>
  </si>
  <si>
    <t>500</t>
  </si>
  <si>
    <t>Handel</t>
  </si>
  <si>
    <t>50005</t>
  </si>
  <si>
    <t>Promocja eksportu</t>
  </si>
  <si>
    <t>Transport i łączność</t>
  </si>
  <si>
    <t>4570</t>
  </si>
  <si>
    <t>Odsetki od nieterminowych wpłat z tytułu pozostałych podatków i opłat</t>
  </si>
  <si>
    <t>Dotacja celowa na pomoc finansową udzielaną między jednostkami samorządu terytorialnego na dofinansowanie własnych zadań bieżących</t>
  </si>
  <si>
    <t>Dotacja celowa z budżetu na finansowanie lub dofinansowanie zadań zleconych do realizacji pozostałym jednostkom niezaliczanym do sektora finansów publicznych</t>
  </si>
  <si>
    <t>6069</t>
  </si>
  <si>
    <t>60002</t>
  </si>
  <si>
    <t>6057</t>
  </si>
  <si>
    <t>60003</t>
  </si>
  <si>
    <t>2630</t>
  </si>
  <si>
    <t xml:space="preserve">Dotacja przedmiotowa z budżetu dla jednostek niezaliczanych do sektora finansów publicznych </t>
  </si>
  <si>
    <t>4560</t>
  </si>
  <si>
    <t>60004</t>
  </si>
  <si>
    <t>4420</t>
  </si>
  <si>
    <t>Podróże służbowe zagraniczne</t>
  </si>
  <si>
    <t>4580</t>
  </si>
  <si>
    <t>4600</t>
  </si>
  <si>
    <t>Kary, odszkodowania i grzywny wypłacane na rzecz osób prawnych i innych jednostek organizacyjnych</t>
  </si>
  <si>
    <t xml:space="preserve"> inwestycje i zakupy inwestycyjne</t>
  </si>
  <si>
    <t>6058</t>
  </si>
  <si>
    <t>6068</t>
  </si>
  <si>
    <t>Wydatki majątkowe:</t>
  </si>
  <si>
    <t xml:space="preserve"> - inwestycyjne i zakupy inwestycyjne</t>
  </si>
  <si>
    <t>Dotacja celowa na pomoc finansową  udzielaną między jednostkami samorządu terytorialnego na dofinansowanie własnych zadań inwestycyjnych i zakupów inwestycyjnych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</si>
  <si>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</si>
  <si>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</si>
  <si>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</si>
  <si>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Turystyka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</si>
  <si>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</si>
  <si>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Dotacje celowe przekazane do samorządu województwa na zadania bieżące realizowane na podstawie porozumień (umów) między jednostkami samorządu terytorialnego</t>
  </si>
  <si>
    <t>Gospodarka mieszkaniowa</t>
  </si>
  <si>
    <t xml:space="preserve">Dotacja celowa na pomoc finansową udzielaną między jednostkami samorządu terytorialnego na dofinansowanie własnych zadań bieżących </t>
  </si>
  <si>
    <t>710</t>
  </si>
  <si>
    <t>Działalność usługowa</t>
  </si>
  <si>
    <t>71003</t>
  </si>
  <si>
    <t>Zakup środków żywnościowych</t>
  </si>
  <si>
    <t>4240</t>
  </si>
  <si>
    <t>Zakup środków dydaktycznych i książek</t>
  </si>
  <si>
    <t>71012</t>
  </si>
  <si>
    <t>Opłata z tytułu zakupu usług telekomunikacyjnych</t>
  </si>
  <si>
    <t>71095</t>
  </si>
  <si>
    <t>720</t>
  </si>
  <si>
    <t>Informatyka</t>
  </si>
  <si>
    <t>72095</t>
  </si>
  <si>
    <t>6257</t>
  </si>
  <si>
    <t>730</t>
  </si>
  <si>
    <t>Nauka</t>
  </si>
  <si>
    <t>73006</t>
  </si>
  <si>
    <t>Działalność upowszechniająca naukę</t>
  </si>
  <si>
    <t>73095</t>
  </si>
  <si>
    <t>4177</t>
  </si>
  <si>
    <t>4387</t>
  </si>
  <si>
    <t>Zakup usług obejmujących tłumaczenia</t>
  </si>
  <si>
    <t>4388</t>
  </si>
  <si>
    <t>4389</t>
  </si>
  <si>
    <t>4397</t>
  </si>
  <si>
    <t>4427</t>
  </si>
  <si>
    <t>4428</t>
  </si>
  <si>
    <t>4429</t>
  </si>
  <si>
    <t>Administracja publiczna</t>
  </si>
  <si>
    <t>75011</t>
  </si>
  <si>
    <t>75017</t>
  </si>
  <si>
    <t>3030</t>
  </si>
  <si>
    <t xml:space="preserve">Różne wydatki na rzecz osób fizycznych </t>
  </si>
  <si>
    <t>75018</t>
  </si>
  <si>
    <t>wydatki bieżące</t>
  </si>
  <si>
    <t>4380</t>
  </si>
  <si>
    <t>3028</t>
  </si>
  <si>
    <t>3029</t>
  </si>
  <si>
    <t>3038</t>
  </si>
  <si>
    <t>Różne wydatki na rzecz osób fizycznych</t>
  </si>
  <si>
    <t>3039</t>
  </si>
  <si>
    <t>4268</t>
  </si>
  <si>
    <t>4269</t>
  </si>
  <si>
    <t>4288</t>
  </si>
  <si>
    <t>4289</t>
  </si>
  <si>
    <t>4368</t>
  </si>
  <si>
    <t>Opłaty z tytułu zakupu usług telekomunikacyjnych świadczonych w ruchomej publicznej sieci telefonicznej</t>
  </si>
  <si>
    <t>4408</t>
  </si>
  <si>
    <t>4409</t>
  </si>
  <si>
    <t>4528</t>
  </si>
  <si>
    <t>4529</t>
  </si>
  <si>
    <t>4618</t>
  </si>
  <si>
    <t>4619</t>
  </si>
  <si>
    <t>75046</t>
  </si>
  <si>
    <t>Szkolenia pracowników niebędących członkami korpusu służby cywilnej</t>
  </si>
  <si>
    <t>Zwroty niewykorzystanych dotacji oraz płatności, dotyczące wydatków majątkowych</t>
  </si>
  <si>
    <t>75079</t>
  </si>
  <si>
    <t>4470</t>
  </si>
  <si>
    <t>Cła</t>
  </si>
  <si>
    <t>75084</t>
  </si>
  <si>
    <t>świadczenia na rzecz osób fizycznych</t>
  </si>
  <si>
    <t>4540</t>
  </si>
  <si>
    <t>Składki dla organizacji międzynarodowych</t>
  </si>
  <si>
    <t>Dotacja celowa z budżetu na finansowanie lub dofinansowanie zadań zleconych do realizacji pozostałym jednostkom nie zaliczanym do sektora finansów publicznych</t>
  </si>
  <si>
    <t>2958</t>
  </si>
  <si>
    <t>4228</t>
  </si>
  <si>
    <t>4229</t>
  </si>
  <si>
    <t>4369</t>
  </si>
  <si>
    <t>Dotacje celowe z budżetu na finansowanie lub dofinansowanie kosztów realizacji inwestycji i zakupów inwestycyjnych jednostek niezaliczanych do sektora finansów publicznych</t>
  </si>
  <si>
    <t>6669</t>
  </si>
  <si>
    <t>751</t>
  </si>
  <si>
    <t xml:space="preserve">Urzędy naczelnych organów władzy państwowej, kontroli i ochrony prawa oraz sądownictwa </t>
  </si>
  <si>
    <t>Bezpieczeństwo publiczne i ochrona przeciwpożarowa</t>
  </si>
  <si>
    <t>75404</t>
  </si>
  <si>
    <t>Komendy wojewódzkie Policji</t>
  </si>
  <si>
    <t>6170</t>
  </si>
  <si>
    <t>Wpłaty jednostek na państwowy fundusz celowy na finansowanie lub dofinansowanie zadań inwestycyjnych</t>
  </si>
  <si>
    <t>75406</t>
  </si>
  <si>
    <t>Straż Graniczna</t>
  </si>
  <si>
    <t>3000</t>
  </si>
  <si>
    <t>Wpłaty jednostek na państwowy fundusz celowy</t>
  </si>
  <si>
    <t>75410</t>
  </si>
  <si>
    <t>Komendy wojewódzkie Państwowej Straży Pożarnej</t>
  </si>
  <si>
    <t>75415</t>
  </si>
  <si>
    <t>757</t>
  </si>
  <si>
    <t>Obsługa długu publicznego</t>
  </si>
  <si>
    <t>75702</t>
  </si>
  <si>
    <t>Obsługa papierów wartościowych, kredytów i pożyczek jednostek samorządu terytorialnego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</si>
  <si>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</si>
  <si>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</si>
  <si>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</si>
  <si>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</si>
  <si>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</si>
  <si>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</si>
  <si>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</si>
  <si>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</si>
  <si>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758</t>
  </si>
  <si>
    <t>Różne rozliczenia</t>
  </si>
  <si>
    <t>75801</t>
  </si>
  <si>
    <t>2940</t>
  </si>
  <si>
    <t>Zwrot do budżetu państwa nienależnie pobranej subwencji ogólnej za lata poprzednie</t>
  </si>
  <si>
    <t>75818</t>
  </si>
  <si>
    <t>Rezerwy ogólne i celowe</t>
  </si>
  <si>
    <t>4810</t>
  </si>
  <si>
    <t>Rezerwy</t>
  </si>
  <si>
    <t>6800</t>
  </si>
  <si>
    <t>Rezerwy na inwestycje i zakupy inwestycyjne</t>
  </si>
  <si>
    <t>Oświata i wychowanie</t>
  </si>
  <si>
    <t>80102</t>
  </si>
  <si>
    <t xml:space="preserve">Wynagrodzenia bezosobowe </t>
  </si>
  <si>
    <t>80111</t>
  </si>
  <si>
    <t>Gimnazja specjalne</t>
  </si>
  <si>
    <t>80116</t>
  </si>
  <si>
    <t>80121</t>
  </si>
  <si>
    <t>Licea ogólnokształcące specjalne</t>
  </si>
  <si>
    <t>80130</t>
  </si>
  <si>
    <t>4340</t>
  </si>
  <si>
    <t>Zakup usług remontowo-konserwatorskich dotyczących obiektów zabytkowych będących w użytkowaniu jednostek budżetowych</t>
  </si>
  <si>
    <t xml:space="preserve">Opłaty na rzecz budżetów jednostek budżetowych </t>
  </si>
  <si>
    <t>3240</t>
  </si>
  <si>
    <t>Stypendia dla uczniów</t>
  </si>
  <si>
    <t>3247</t>
  </si>
  <si>
    <t>3249</t>
  </si>
  <si>
    <t>4247</t>
  </si>
  <si>
    <t>4249</t>
  </si>
  <si>
    <t>80146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</si>
  <si>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</si>
  <si>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>3027</t>
  </si>
  <si>
    <t>4227</t>
  </si>
  <si>
    <t>4267</t>
  </si>
  <si>
    <t>Zakup usług remontowo - konserwatorskich dotyczących obiektów zabytkowych będących w użytkowaniu jednostek budżetowych</t>
  </si>
  <si>
    <t>4347</t>
  </si>
  <si>
    <t>4349</t>
  </si>
  <si>
    <t>4367</t>
  </si>
  <si>
    <t xml:space="preserve">Opłaty z tytułu zakupu usług telekomunikacyjnych </t>
  </si>
  <si>
    <t>4437</t>
  </si>
  <si>
    <t>80147</t>
  </si>
  <si>
    <t>80151</t>
  </si>
  <si>
    <t>Kwalifikacyjne kursy zawodowe</t>
  </si>
  <si>
    <t>80153</t>
  </si>
  <si>
    <t>80195</t>
  </si>
  <si>
    <t>3040</t>
  </si>
  <si>
    <t>Nagrody o charakterze szczególnym niezaliczone do wynagrodzeń</t>
  </si>
  <si>
    <t>4111</t>
  </si>
  <si>
    <t>4121</t>
  </si>
  <si>
    <t>4171</t>
  </si>
  <si>
    <t>4701</t>
  </si>
  <si>
    <t>803</t>
  </si>
  <si>
    <t>Szkolnictwo wyższe</t>
  </si>
  <si>
    <t>80309</t>
  </si>
  <si>
    <t>4989</t>
  </si>
  <si>
    <t>Zwroty dotyczące rozliczeń z Komisją Europejską</t>
  </si>
  <si>
    <t>3250</t>
  </si>
  <si>
    <t>Stypendia różne</t>
  </si>
  <si>
    <t>80395</t>
  </si>
  <si>
    <t>dotacje na zadania bieżące</t>
  </si>
  <si>
    <t>2500</t>
  </si>
  <si>
    <t>Dotacja podmiotowa z budżetu dla uczelni niepublicznej na zadania, o których mowa w art. 94 ust. 1 pkt 1 ustawy z dnia 27 lipca 2005 r. - Prawo o szkolnictwie wyższym</t>
  </si>
  <si>
    <t>2520</t>
  </si>
  <si>
    <t>Dotacja podmiotowa z budżetu dla uczelni publicznej na zadania, o których mowa w art. 94 ust. 1 pkt 1 ustawy z dnia 27 lipca 2005 r. - Prawo o szkolnictwie wyższym</t>
  </si>
  <si>
    <t>Dotacje celowe z budżetu na finansowanie lub dofinansowanie kosztów realizacji inwestycji i zakupów inwestycyjnych innych jednostek sektora finansów publicznych</t>
  </si>
  <si>
    <t>Ochrona zdrowia</t>
  </si>
  <si>
    <t>85111</t>
  </si>
  <si>
    <t>4160</t>
  </si>
  <si>
    <t>Pokrycie ujemnego wyniku finansowego jednostek zaliczanych do sektora finansów publicznych</t>
  </si>
  <si>
    <t>2560</t>
  </si>
  <si>
    <t>Dotacja podmiotowa z budżetu dla samodzielnego publicznego zakładu opieki zdrowotnej utworzonego przez jednostkę samorządu terytorialnego</t>
  </si>
  <si>
    <t>85119</t>
  </si>
  <si>
    <t>Leczenie sanatoryjno - klimatyczne</t>
  </si>
  <si>
    <t>85120</t>
  </si>
  <si>
    <t>Lecznictwo psychiatryczne</t>
  </si>
  <si>
    <t>85121</t>
  </si>
  <si>
    <t>85148</t>
  </si>
  <si>
    <t>Medycyna pracy</t>
  </si>
  <si>
    <t>85149</t>
  </si>
  <si>
    <t>85156</t>
  </si>
  <si>
    <t>4130</t>
  </si>
  <si>
    <t>Składki na ubezpieczenie zdrowotne</t>
  </si>
  <si>
    <t>85195</t>
  </si>
  <si>
    <t>Pomoc społeczna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</si>
  <si>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</si>
  <si>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Zasiłki okresowe, celowe i pomoc w naturze oraz składki na ubezpieczenia emerytalne i rentowe</t>
  </si>
  <si>
    <t>85217</t>
  </si>
  <si>
    <t>Powiatowe centra pomocy rodzinie</t>
  </si>
  <si>
    <t>Ośrodki pomocy społecznej</t>
  </si>
  <si>
    <t>85295</t>
  </si>
  <si>
    <t>3037</t>
  </si>
  <si>
    <t>4047</t>
  </si>
  <si>
    <t>4277</t>
  </si>
  <si>
    <t>4287</t>
  </si>
  <si>
    <t>4407</t>
  </si>
  <si>
    <t>4447</t>
  </si>
  <si>
    <t>4449</t>
  </si>
  <si>
    <t>4487</t>
  </si>
  <si>
    <t>4489</t>
  </si>
  <si>
    <t>4527</t>
  </si>
  <si>
    <t>853</t>
  </si>
  <si>
    <t>Pozostałe zadania w zakresie polityki społecznej</t>
  </si>
  <si>
    <t>85311</t>
  </si>
  <si>
    <t>Rehabilitacja zawodowa i społeczna osób niepełnosprawnych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</si>
  <si>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</si>
  <si>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</si>
  <si>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</si>
  <si>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</si>
  <si>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6190</t>
  </si>
  <si>
    <t>Dotacje celowe z budżetu jednostki samorządu terytorialnego, udzielone w trybie art. 221 ustawy, na dofinansowanie inwestycji w ramach zadań zleconych do realizacji organizacjom prowadzącym działalność pożytku publicznego</t>
  </si>
  <si>
    <t>85332</t>
  </si>
  <si>
    <t>Wojewódzkie urzędy pracy</t>
  </si>
  <si>
    <t>85395</t>
  </si>
  <si>
    <t>Edukacyjna opieka wychowawcza</t>
  </si>
  <si>
    <t>85410</t>
  </si>
  <si>
    <t>Opłaty na rzecz budżetów jednostek budżetowych</t>
  </si>
  <si>
    <t>85416</t>
  </si>
  <si>
    <t>Pomoc materialna dla uczniów o charakterze motywacyjnym</t>
  </si>
  <si>
    <t>Młodzieżowe ośrodki wychowawcze</t>
  </si>
  <si>
    <t>Rodzina</t>
  </si>
  <si>
    <t>85503</t>
  </si>
  <si>
    <t>Karta Dużej Rodziny</t>
  </si>
  <si>
    <t>85504</t>
  </si>
  <si>
    <t xml:space="preserve">dotacje na zadania bieżące </t>
  </si>
  <si>
    <t>85509</t>
  </si>
  <si>
    <t>Gospodarka komunalna i ochrona środowiska</t>
  </si>
  <si>
    <t>90004</t>
  </si>
  <si>
    <t>Utrzymanie zieleni w miastach i gminach</t>
  </si>
  <si>
    <t>90005</t>
  </si>
  <si>
    <t>90007</t>
  </si>
  <si>
    <t>Zmniejszenie hałasu i wibracji</t>
  </si>
  <si>
    <t>Kultura i ochrona dziedzictwa narodowego</t>
  </si>
  <si>
    <t xml:space="preserve">Teatry </t>
  </si>
  <si>
    <t>Dotacja podmiotowa z budżetu dla samorządowej instytucji kultury</t>
  </si>
  <si>
    <t>Dotacja celowa z budżetu dla pozostałych jednostek zaliczanych do sektora finansów publicznych</t>
  </si>
  <si>
    <t>92108</t>
  </si>
  <si>
    <t>92109</t>
  </si>
  <si>
    <t>6229</t>
  </si>
  <si>
    <t>Zwrot niewykorzystanych dotacji oraz płatności, dotyczące wydatków majątkowych</t>
  </si>
  <si>
    <t>92110</t>
  </si>
  <si>
    <t>Galerie i biura wystaw artystycznych</t>
  </si>
  <si>
    <t>92114</t>
  </si>
  <si>
    <t>92116</t>
  </si>
  <si>
    <t>92118</t>
  </si>
  <si>
    <t>92120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</si>
  <si>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</si>
  <si>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</si>
  <si>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</si>
  <si>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</si>
  <si>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92195</t>
  </si>
  <si>
    <t>925</t>
  </si>
  <si>
    <t>Ogrody botaniczne i zoologiczne oraz naturalne obszary i obiekty chronionej przyrody</t>
  </si>
  <si>
    <t>92502</t>
  </si>
  <si>
    <t>92595</t>
  </si>
  <si>
    <t>Kultura fizyczna</t>
  </si>
  <si>
    <t>92601</t>
  </si>
  <si>
    <t>dotacje  na zadania bieżące:</t>
  </si>
  <si>
    <t>2820</t>
  </si>
  <si>
    <t>Dotacja celowa z budżetu na finansowanie lub dofinansowanie zadań zleconych do realizacji stowarzyszeniom</t>
  </si>
  <si>
    <t>Razem: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</si>
  <si>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</si>
  <si>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</si>
  <si>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</si>
  <si>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</si>
  <si>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</si>
  <si>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</si>
  <si>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</si>
  <si>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</si>
  <si>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</si>
  <si>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</si>
  <si>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</si>
  <si>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</si>
  <si>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</si>
  <si>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</si>
  <si>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>Zestawienie wykonania planu dochodów i wydatków zadań z zakresu administracji rządowej wykonywanych 
przez samorząd województwa</t>
  </si>
  <si>
    <t xml:space="preserve">I. DOCHODY </t>
  </si>
  <si>
    <t>% wykonania 
(7:6)</t>
  </si>
  <si>
    <t>6510</t>
  </si>
  <si>
    <t>6513</t>
  </si>
  <si>
    <t>Ośrodki dokumentacji geodezyjnej i kartograficznej</t>
  </si>
  <si>
    <t>75109</t>
  </si>
  <si>
    <t>Wybory do rad gmin, rad powiatów i sejmików województw, wybory wójtów, burmistrzów i prezydentów miast oraz referenda gminne, powiatowe i wojewódzkie</t>
  </si>
  <si>
    <r>
      <rPr>
        <b/>
        <sz val="10"/>
        <rFont val="Arial"/>
        <family val="2"/>
        <charset val="238"/>
      </rPr>
      <t xml:space="preserve">II. WYDATKI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</si>
  <si>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w złotych</t>
  </si>
  <si>
    <t xml:space="preserve">Plan wg uchwały budżetowej </t>
  </si>
  <si>
    <t>Wydatki 
bieżące</t>
  </si>
  <si>
    <t>z tego:</t>
  </si>
  <si>
    <t>Wydatki 
majątkowe</t>
  </si>
  <si>
    <t>% wykonania
(7:6)</t>
  </si>
  <si>
    <t>Wydatki jednostek budżetowych</t>
  </si>
  <si>
    <t>Dotacje na zadania bieżące</t>
  </si>
  <si>
    <t>Świadczenia na rzecz osób fizycznych</t>
  </si>
  <si>
    <t>wynagro-
dzenia i 
składki od nich naliczane</t>
  </si>
  <si>
    <t>wydatki związane z realizacją ich statutowych zadań</t>
  </si>
  <si>
    <t>9.</t>
  </si>
  <si>
    <t>10.</t>
  </si>
  <si>
    <t>11.</t>
  </si>
  <si>
    <t>12.</t>
  </si>
  <si>
    <t>13.</t>
  </si>
  <si>
    <t>14.</t>
  </si>
  <si>
    <t>15.</t>
  </si>
  <si>
    <t>razem</t>
  </si>
  <si>
    <t>Dotacja celowa otrzymana od Województwa Świętokrzyskiego na realizację połączeń kolejowych relacji Stalowa Wola - Sandomierz - Rzeszów.</t>
  </si>
  <si>
    <r>
      <t xml:space="preserve">Dotacja celowa dla powiatów na zakupu sprzętu pomiarowego i informatycznego oraz oprogramowania niezbędnego do prowadzenia spraw ochrony gruntów rolnych.
</t>
    </r>
    <r>
      <rPr>
        <i/>
        <sz val="11"/>
        <rFont val="Arial"/>
        <family val="2"/>
        <charset val="238"/>
      </rPr>
      <t xml:space="preserve">Szczegółowy podział dotacji przedstawiono w objaśnieniach do wykonania wydatków rozdziału 01042. </t>
    </r>
  </si>
  <si>
    <t>Dotacja celowa dla Powiatu Niżańskiego na budowę i modernizację dróg dojazdowych do gruntów rolnych.</t>
  </si>
  <si>
    <t>Dotacje celowe na pomoc finansową dla gmin z przeznaczeniem na dofinansowanie zadań realizowanych w sołectwach w ramach „Podkarpackiego Programu Odnowy Wsi na lata 2017-2020” w kwocie 59.566,-zł, z tego dla:
1) Gminy Radymno na dofinansowanie zadania pn. „Remont Remizo-Świetlicy w Skołoszowie poprzez odnowienie pomieszczeń świetlicy wiejskiej”, realizowanego w sołectwie Skołoszów – 10.000,-zł,
2) Gminy Pawłosiów na dofinansowanie zadania pn. „Rekultywacja stawu”, realizowanego w sołectwie Kidałowice – 10.000,-zł,
3) Gminy Dubiecko na dofinansowanie zadania pn. „Remont świetlicy wiejskiej w Sielnicy dla rozwoju integracji mieszkańców i kultury wraz z organizacją festynu rodzinnego”, realizowanego w sołectwie Sielnica – 9.757,-zł,
4) Gminy Przeworsk na dofinansowanie zadania pn. „Remont podłogi tanecznej przy Wiejskim Domu Kultury. Wymiana stolarki okiennej i drzwiowej. Monitoring”, reali ozwanego w sołectwie Chałupki – 10.000,-zł,
5) Gminy Bircza  na dofinansowanie zadania pn. „Zadbane centrum naszą wizytówką – poprawa estetyki i wizerunku wsi poprzez zagospodarowanie przestrzeni publicznej”, realizowanego przez sołectwo Bircza – 9.809,-zł,
6) Gminy Roźwienica na dofinansowanie zadania pn. „Wykonanie prac remontowych w budynku WDK wraz z zakupem wyposażenia oraz wykonanie zagospodarowania placu wokół remizy OSP poprzez remont instalacji wodno-kanalizacyjnej w łazienkach i wymianę części stolarki drzwiowej oraz utwardzenie terenu i zakup i ustawienie grilla betonowego przy remizie OSP w Woli Roźwienickiej”, realizowanego przez sołectwo Wola Roźwienicka – 
10.000,-zł.</t>
  </si>
  <si>
    <t xml:space="preserve">Wpływ z tytułu odszkodowania za szkodę na pojeździe szynowym </t>
  </si>
  <si>
    <t>Dzierżawa pojazdów szynowych</t>
  </si>
  <si>
    <t xml:space="preserve">Wpływ z tytułu kary za opóźnienie w dostawie 3 sztuk pojazdów szynowych oraz wpływ odszkodowania za uszkodzony pojazd szynowy </t>
  </si>
  <si>
    <t xml:space="preserve">Spłata udzielonych z budżetu pożyczek </t>
  </si>
  <si>
    <t>Odsetki od nieterminowego wpływu kary za opóźnienie w dostawie pojazdów szynowych oraz odsetki zasądzone w sprawie dotyczacej zapłaty odszkodowania za uszkodzony pojazd szynowy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</si>
</sst>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9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 CE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name val="Arial CE"/>
      <charset val="238"/>
    </font>
    <font>
      <b/>
      <i/>
      <sz val="10"/>
      <color rgb="FFFF0000"/>
      <name val="Arial CE"/>
      <charset val="238"/>
    </font>
    <font>
      <sz val="12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1"/>
      <name val="Arial CE"/>
      <charset val="238"/>
    </font>
    <font>
      <sz val="11"/>
      <color rgb="FFFF0000"/>
      <name val="Arial CE"/>
      <charset val="238"/>
    </font>
    <font>
      <b/>
      <sz val="10"/>
      <name val="Arial CE"/>
      <charset val="238"/>
    </font>
    <font>
      <b/>
      <i/>
      <sz val="12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 CE"/>
      <charset val="238"/>
    </font>
    <font>
      <i/>
      <sz val="12"/>
      <name val="Arial"/>
      <family val="2"/>
      <charset val="238"/>
    </font>
    <font>
      <b/>
      <i/>
      <sz val="10"/>
      <name val="Arial CE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 CE"/>
      <charset val="238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 CE"/>
      <charset val="238"/>
    </font>
    <font>
      <b/>
      <i/>
      <sz val="11"/>
      <color theme="1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i/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FFFF66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</fills>
  <borders count="41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</cellStyleXfs>
  <cellXfs count="2545">
    <xf numFmtId="0" fontId="0" fillId="0" borderId="0" xfId="0"/>
    <xf numFmtId="0" fontId="10" fillId="0" borderId="0" xfId="19" applyFont="1"/>
    <xf numFmtId="0" fontId="11" fillId="0" borderId="0" xfId="19" applyFont="1" applyAlignment="1">
      <alignment horizontal="center"/>
    </xf>
    <xf numFmtId="0" fontId="1" fillId="0" borderId="0" xfId="19"/>
    <xf numFmtId="0" fontId="13" fillId="0" borderId="0" xfId="19" applyFont="1" applyAlignment="1">
      <alignment wrapText="1"/>
    </xf>
    <xf numFmtId="0" fontId="8" fillId="0" borderId="0" xfId="1" applyFont="1" applyAlignment="1">
      <alignment horizontal="right"/>
    </xf>
    <xf numFmtId="0" fontId="14" fillId="2" borderId="8" xfId="19" applyFont="1" applyFill="1" applyBorder="1" applyAlignment="1">
      <alignment horizontal="center" vertical="center"/>
    </xf>
    <xf numFmtId="0" fontId="14" fillId="2" borderId="7" xfId="19" applyFont="1" applyFill="1" applyBorder="1" applyAlignment="1">
      <alignment horizontal="center" vertical="center"/>
    </xf>
    <xf numFmtId="0" fontId="14" fillId="2" borderId="9" xfId="19" applyFont="1" applyFill="1" applyBorder="1" applyAlignment="1">
      <alignment horizontal="center" vertical="center"/>
    </xf>
    <xf numFmtId="0" fontId="14" fillId="2" borderId="7" xfId="19" applyFont="1" applyFill="1" applyBorder="1" applyAlignment="1">
      <alignment horizontal="center" vertical="center" wrapText="1"/>
    </xf>
    <xf numFmtId="0" fontId="15" fillId="0" borderId="12" xfId="19" applyFont="1" applyBorder="1" applyAlignment="1">
      <alignment horizontal="center" vertical="center"/>
    </xf>
    <xf numFmtId="0" fontId="15" fillId="0" borderId="17" xfId="19" applyFont="1" applyBorder="1" applyAlignment="1">
      <alignment horizontal="center" vertical="center"/>
    </xf>
    <xf numFmtId="0" fontId="15" fillId="0" borderId="18" xfId="19" applyFont="1" applyBorder="1" applyAlignment="1">
      <alignment horizontal="center" vertical="center"/>
    </xf>
    <xf numFmtId="0" fontId="16" fillId="0" borderId="19" xfId="19" applyFont="1" applyBorder="1" applyAlignment="1">
      <alignment horizontal="left" vertical="center"/>
    </xf>
    <xf numFmtId="3" fontId="17" fillId="0" borderId="15" xfId="19" applyNumberFormat="1" applyFont="1" applyBorder="1" applyAlignment="1">
      <alignment horizontal="right" vertical="center"/>
    </xf>
    <xf numFmtId="2" fontId="17" fillId="0" borderId="20" xfId="19" applyNumberFormat="1" applyFont="1" applyBorder="1" applyAlignment="1">
      <alignment horizontal="right" vertical="center"/>
    </xf>
    <xf numFmtId="3" fontId="13" fillId="2" borderId="7" xfId="19" applyNumberFormat="1" applyFont="1" applyFill="1" applyBorder="1" applyAlignment="1">
      <alignment horizontal="right" vertical="center"/>
    </xf>
    <xf numFmtId="3" fontId="13" fillId="2" borderId="9" xfId="19" applyNumberFormat="1" applyFont="1" applyFill="1" applyBorder="1" applyAlignment="1">
      <alignment horizontal="right" vertical="center"/>
    </xf>
    <xf numFmtId="4" fontId="13" fillId="2" borderId="7" xfId="19" applyNumberFormat="1" applyFont="1" applyFill="1" applyBorder="1" applyAlignment="1">
      <alignment horizontal="right" vertical="center"/>
    </xf>
    <xf numFmtId="3" fontId="17" fillId="0" borderId="20" xfId="19" applyNumberFormat="1" applyFont="1" applyBorder="1" applyAlignment="1">
      <alignment horizontal="right" vertical="center"/>
    </xf>
    <xf numFmtId="4" fontId="17" fillId="0" borderId="20" xfId="19" applyNumberFormat="1" applyFont="1" applyBorder="1" applyAlignment="1">
      <alignment horizontal="right" vertical="center"/>
    </xf>
    <xf numFmtId="0" fontId="6" fillId="0" borderId="0" xfId="1" applyFont="1" applyAlignment="1">
      <alignment horizontal="center"/>
    </xf>
    <xf numFmtId="0" fontId="18" fillId="0" borderId="0" xfId="1" applyFont="1" applyAlignment="1">
      <alignment wrapText="1"/>
    </xf>
    <xf numFmtId="0" fontId="18" fillId="0" borderId="0" xfId="1" applyFont="1"/>
    <xf numFmtId="0" fontId="6" fillId="0" borderId="0" xfId="1" applyFont="1"/>
    <xf numFmtId="0" fontId="6" fillId="0" borderId="0" xfId="1"/>
    <xf numFmtId="0" fontId="13" fillId="0" borderId="0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 wrapText="1"/>
    </xf>
    <xf numFmtId="0" fontId="6" fillId="3" borderId="0" xfId="1" applyFill="1"/>
    <xf numFmtId="0" fontId="24" fillId="0" borderId="0" xfId="1" applyFont="1"/>
    <xf numFmtId="3" fontId="17" fillId="3" borderId="29" xfId="1" applyNumberFormat="1" applyFont="1" applyFill="1" applyBorder="1" applyAlignment="1">
      <alignment vertical="center"/>
    </xf>
    <xf numFmtId="0" fontId="24" fillId="3" borderId="0" xfId="1" applyFont="1" applyFill="1"/>
    <xf numFmtId="0" fontId="6" fillId="3" borderId="0" xfId="1" applyFont="1" applyFill="1"/>
    <xf numFmtId="3" fontId="6" fillId="0" borderId="0" xfId="1" applyNumberFormat="1" applyFont="1"/>
    <xf numFmtId="0" fontId="6" fillId="0" borderId="0" xfId="1" applyFont="1" applyAlignment="1">
      <alignment wrapText="1"/>
    </xf>
    <xf numFmtId="3" fontId="17" fillId="3" borderId="33" xfId="1" applyNumberFormat="1" applyFont="1" applyFill="1" applyBorder="1" applyAlignment="1">
      <alignment vertical="center"/>
    </xf>
    <xf numFmtId="3" fontId="18" fillId="0" borderId="0" xfId="1" applyNumberFormat="1" applyFont="1"/>
    <xf numFmtId="49" fontId="17" fillId="3" borderId="3" xfId="1" applyNumberFormat="1" applyFont="1" applyFill="1" applyBorder="1" applyAlignment="1">
      <alignment horizontal="center" vertical="center"/>
    </xf>
    <xf numFmtId="3" fontId="17" fillId="3" borderId="41" xfId="1" applyNumberFormat="1" applyFont="1" applyFill="1" applyBorder="1" applyAlignment="1">
      <alignment horizontal="right" vertical="center" wrapText="1"/>
    </xf>
    <xf numFmtId="3" fontId="17" fillId="3" borderId="38" xfId="1" applyNumberFormat="1" applyFont="1" applyFill="1" applyBorder="1" applyAlignment="1">
      <alignment horizontal="right" vertical="center" wrapText="1"/>
    </xf>
    <xf numFmtId="3" fontId="17" fillId="3" borderId="11" xfId="1" applyNumberFormat="1" applyFont="1" applyFill="1" applyBorder="1" applyAlignment="1">
      <alignment horizontal="right" vertical="center"/>
    </xf>
    <xf numFmtId="49" fontId="17" fillId="3" borderId="45" xfId="1" applyNumberFormat="1" applyFont="1" applyFill="1" applyBorder="1" applyAlignment="1">
      <alignment horizontal="center" vertical="center"/>
    </xf>
    <xf numFmtId="0" fontId="16" fillId="0" borderId="46" xfId="19" applyFont="1" applyBorder="1" applyAlignment="1">
      <alignment horizontal="left" vertical="center"/>
    </xf>
    <xf numFmtId="3" fontId="17" fillId="0" borderId="44" xfId="19" applyNumberFormat="1" applyFont="1" applyBorder="1" applyAlignment="1">
      <alignment horizontal="right" vertical="center"/>
    </xf>
    <xf numFmtId="49" fontId="13" fillId="0" borderId="4" xfId="1" applyNumberFormat="1" applyFont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wrapText="1"/>
    </xf>
    <xf numFmtId="3" fontId="17" fillId="3" borderId="33" xfId="1" applyNumberFormat="1" applyFont="1" applyFill="1" applyBorder="1" applyAlignment="1">
      <alignment horizontal="right" vertical="center"/>
    </xf>
    <xf numFmtId="49" fontId="17" fillId="0" borderId="20" xfId="19" applyNumberFormat="1" applyFont="1" applyBorder="1" applyAlignment="1">
      <alignment horizontal="right" vertical="center"/>
    </xf>
    <xf numFmtId="3" fontId="17" fillId="0" borderId="50" xfId="19" applyNumberFormat="1" applyFont="1" applyBorder="1" applyAlignment="1">
      <alignment vertical="center" wrapText="1"/>
    </xf>
    <xf numFmtId="0" fontId="29" fillId="0" borderId="46" xfId="21" applyFont="1" applyBorder="1" applyAlignment="1">
      <alignment horizontal="left" vertical="center"/>
    </xf>
    <xf numFmtId="3" fontId="8" fillId="0" borderId="50" xfId="21" applyNumberFormat="1" applyFont="1" applyBorder="1" applyAlignment="1">
      <alignment horizontal="right" vertical="center"/>
    </xf>
    <xf numFmtId="3" fontId="17" fillId="0" borderId="20" xfId="19" applyNumberFormat="1" applyFont="1" applyBorder="1" applyAlignment="1">
      <alignment vertical="center" wrapText="1"/>
    </xf>
    <xf numFmtId="3" fontId="8" fillId="0" borderId="44" xfId="21" applyNumberFormat="1" applyFont="1" applyBorder="1" applyAlignment="1">
      <alignment vertical="center" wrapText="1"/>
    </xf>
    <xf numFmtId="10" fontId="17" fillId="0" borderId="44" xfId="18" applyNumberFormat="1" applyFont="1" applyBorder="1" applyAlignment="1">
      <alignment horizontal="right" vertical="center"/>
    </xf>
    <xf numFmtId="3" fontId="18" fillId="0" borderId="15" xfId="19" applyNumberFormat="1" applyFont="1" applyBorder="1" applyAlignment="1">
      <alignment vertical="center" wrapText="1"/>
    </xf>
    <xf numFmtId="3" fontId="17" fillId="3" borderId="40" xfId="1" applyNumberFormat="1" applyFont="1" applyFill="1" applyBorder="1" applyAlignment="1">
      <alignment horizontal="right" vertical="center" wrapText="1"/>
    </xf>
    <xf numFmtId="0" fontId="6" fillId="0" borderId="0" xfId="1" applyAlignment="1">
      <alignment horizontal="center"/>
    </xf>
    <xf numFmtId="3" fontId="17" fillId="3" borderId="55" xfId="1" applyNumberFormat="1" applyFont="1" applyFill="1" applyBorder="1" applyAlignment="1">
      <alignment horizontal="right" vertical="center"/>
    </xf>
    <xf numFmtId="3" fontId="17" fillId="3" borderId="0" xfId="1" applyNumberFormat="1" applyFont="1" applyFill="1" applyBorder="1" applyAlignment="1">
      <alignment horizontal="right" vertical="center" wrapText="1"/>
    </xf>
    <xf numFmtId="3" fontId="6" fillId="0" borderId="0" xfId="1" applyNumberFormat="1"/>
    <xf numFmtId="0" fontId="6" fillId="0" borderId="0" xfId="1" applyAlignment="1">
      <alignment wrapText="1"/>
    </xf>
    <xf numFmtId="49" fontId="17" fillId="3" borderId="4" xfId="1" applyNumberFormat="1" applyFont="1" applyFill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center" vertical="center" wrapText="1"/>
    </xf>
    <xf numFmtId="0" fontId="16" fillId="0" borderId="0" xfId="4" applyFont="1"/>
    <xf numFmtId="0" fontId="5" fillId="0" borderId="0" xfId="4"/>
    <xf numFmtId="0" fontId="31" fillId="0" borderId="0" xfId="5" applyFont="1" applyBorder="1" applyAlignment="1">
      <alignment horizontal="center" vertical="center" wrapText="1"/>
    </xf>
    <xf numFmtId="0" fontId="31" fillId="4" borderId="0" xfId="5" applyFont="1" applyFill="1" applyBorder="1" applyAlignment="1">
      <alignment horizontal="center" vertical="center" wrapText="1"/>
    </xf>
    <xf numFmtId="0" fontId="26" fillId="0" borderId="3" xfId="5" applyFont="1" applyBorder="1" applyAlignment="1">
      <alignment horizontal="right" vertical="center" wrapText="1"/>
    </xf>
    <xf numFmtId="0" fontId="14" fillId="5" borderId="7" xfId="4" applyFont="1" applyFill="1" applyBorder="1" applyAlignment="1">
      <alignment horizontal="center" vertical="center"/>
    </xf>
    <xf numFmtId="0" fontId="33" fillId="0" borderId="0" xfId="4" applyFont="1"/>
    <xf numFmtId="0" fontId="14" fillId="0" borderId="58" xfId="4" applyFont="1" applyBorder="1" applyAlignment="1">
      <alignment horizontal="center" vertical="center"/>
    </xf>
    <xf numFmtId="0" fontId="17" fillId="4" borderId="16" xfId="22" applyFont="1" applyFill="1" applyBorder="1" applyAlignment="1">
      <alignment horizontal="center" vertical="center" wrapText="1"/>
    </xf>
    <xf numFmtId="0" fontId="17" fillId="4" borderId="34" xfId="22" applyFont="1" applyFill="1" applyBorder="1" applyAlignment="1">
      <alignment horizontal="left" vertical="center" wrapText="1"/>
    </xf>
    <xf numFmtId="3" fontId="5" fillId="0" borderId="0" xfId="4" applyNumberFormat="1"/>
    <xf numFmtId="0" fontId="14" fillId="0" borderId="46" xfId="4" applyFont="1" applyBorder="1" applyAlignment="1">
      <alignment horizontal="center" vertical="center"/>
    </xf>
    <xf numFmtId="0" fontId="17" fillId="4" borderId="44" xfId="22" applyFont="1" applyFill="1" applyBorder="1" applyAlignment="1">
      <alignment horizontal="center" vertical="center" wrapText="1"/>
    </xf>
    <xf numFmtId="0" fontId="17" fillId="4" borderId="50" xfId="22" applyFont="1" applyFill="1" applyBorder="1" applyAlignment="1">
      <alignment horizontal="left" vertical="center" wrapText="1"/>
    </xf>
    <xf numFmtId="0" fontId="14" fillId="0" borderId="52" xfId="4" applyFont="1" applyBorder="1" applyAlignment="1">
      <alignment horizontal="center" vertical="center"/>
    </xf>
    <xf numFmtId="0" fontId="17" fillId="4" borderId="44" xfId="22" applyFont="1" applyFill="1" applyBorder="1" applyAlignment="1">
      <alignment horizontal="center" vertical="center"/>
    </xf>
    <xf numFmtId="0" fontId="14" fillId="0" borderId="44" xfId="4" applyFont="1" applyBorder="1" applyAlignment="1">
      <alignment horizontal="center" vertical="center"/>
    </xf>
    <xf numFmtId="0" fontId="17" fillId="4" borderId="45" xfId="22" applyFont="1" applyFill="1" applyBorder="1" applyAlignment="1">
      <alignment horizontal="center" vertical="center"/>
    </xf>
    <xf numFmtId="0" fontId="17" fillId="4" borderId="2" xfId="22" applyFont="1" applyFill="1" applyBorder="1" applyAlignment="1">
      <alignment horizontal="left" vertical="center"/>
    </xf>
    <xf numFmtId="3" fontId="13" fillId="5" borderId="7" xfId="5" applyNumberFormat="1" applyFont="1" applyFill="1" applyBorder="1" applyAlignment="1">
      <alignment horizontal="right" vertical="center"/>
    </xf>
    <xf numFmtId="4" fontId="16" fillId="0" borderId="0" xfId="4" applyNumberFormat="1" applyFont="1"/>
    <xf numFmtId="3" fontId="16" fillId="0" borderId="0" xfId="4" applyNumberFormat="1" applyFont="1"/>
    <xf numFmtId="0" fontId="13" fillId="2" borderId="7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/>
    </xf>
    <xf numFmtId="0" fontId="13" fillId="5" borderId="8" xfId="5" applyFont="1" applyFill="1" applyBorder="1" applyAlignment="1">
      <alignment horizontal="center" vertical="center"/>
    </xf>
    <xf numFmtId="49" fontId="17" fillId="3" borderId="1" xfId="1" applyNumberFormat="1" applyFont="1" applyFill="1" applyBorder="1" applyAlignment="1">
      <alignment vertical="center" wrapText="1"/>
    </xf>
    <xf numFmtId="49" fontId="17" fillId="3" borderId="4" xfId="1" applyNumberFormat="1" applyFont="1" applyFill="1" applyBorder="1" applyAlignment="1">
      <alignment vertical="center" wrapText="1"/>
    </xf>
    <xf numFmtId="49" fontId="17" fillId="3" borderId="21" xfId="1" applyNumberFormat="1" applyFont="1" applyFill="1" applyBorder="1" applyAlignment="1">
      <alignment vertical="center" wrapText="1"/>
    </xf>
    <xf numFmtId="0" fontId="16" fillId="0" borderId="0" xfId="0" applyFont="1"/>
    <xf numFmtId="3" fontId="17" fillId="3" borderId="30" xfId="1" applyNumberFormat="1" applyFont="1" applyFill="1" applyBorder="1" applyAlignment="1">
      <alignment horizontal="right" vertical="center" wrapText="1"/>
    </xf>
    <xf numFmtId="3" fontId="17" fillId="3" borderId="27" xfId="1" applyNumberFormat="1" applyFont="1" applyFill="1" applyBorder="1" applyAlignment="1">
      <alignment horizontal="right" vertical="center" wrapText="1"/>
    </xf>
    <xf numFmtId="49" fontId="17" fillId="3" borderId="0" xfId="1" applyNumberFormat="1" applyFont="1" applyFill="1" applyBorder="1" applyAlignment="1">
      <alignment horizontal="center" vertical="center"/>
    </xf>
    <xf numFmtId="49" fontId="17" fillId="3" borderId="1" xfId="1" applyNumberFormat="1" applyFont="1" applyFill="1" applyBorder="1" applyAlignment="1">
      <alignment horizontal="left" vertical="center" wrapText="1"/>
    </xf>
    <xf numFmtId="3" fontId="17" fillId="3" borderId="3" xfId="1" applyNumberFormat="1" applyFont="1" applyFill="1" applyBorder="1" applyAlignment="1">
      <alignment horizontal="right" vertical="center" wrapText="1"/>
    </xf>
    <xf numFmtId="49" fontId="17" fillId="3" borderId="4" xfId="1" applyNumberFormat="1" applyFont="1" applyFill="1" applyBorder="1" applyAlignment="1">
      <alignment horizontal="left" vertical="center" wrapText="1"/>
    </xf>
    <xf numFmtId="0" fontId="17" fillId="3" borderId="55" xfId="1" applyFont="1" applyFill="1" applyBorder="1" applyAlignment="1">
      <alignment horizontal="right" vertical="center" wrapText="1"/>
    </xf>
    <xf numFmtId="49" fontId="31" fillId="7" borderId="8" xfId="1" applyNumberFormat="1" applyFont="1" applyFill="1" applyBorder="1" applyAlignment="1">
      <alignment horizontal="center" vertical="center"/>
    </xf>
    <xf numFmtId="0" fontId="31" fillId="7" borderId="7" xfId="1" applyFont="1" applyFill="1" applyBorder="1" applyAlignment="1">
      <alignment vertical="center" wrapText="1"/>
    </xf>
    <xf numFmtId="49" fontId="31" fillId="7" borderId="7" xfId="1" applyNumberFormat="1" applyFont="1" applyFill="1" applyBorder="1" applyAlignment="1">
      <alignment horizontal="center" vertical="center"/>
    </xf>
    <xf numFmtId="3" fontId="34" fillId="7" borderId="7" xfId="1" applyNumberFormat="1" applyFont="1" applyFill="1" applyBorder="1" applyAlignment="1">
      <alignment horizontal="right" vertical="center"/>
    </xf>
    <xf numFmtId="0" fontId="31" fillId="7" borderId="6" xfId="1" applyFont="1" applyFill="1" applyBorder="1" applyAlignment="1">
      <alignment horizontal="right" vertical="center" wrapText="1"/>
    </xf>
    <xf numFmtId="0" fontId="31" fillId="7" borderId="7" xfId="1" applyFont="1" applyFill="1" applyBorder="1" applyAlignment="1">
      <alignment horizontal="center" vertical="center"/>
    </xf>
    <xf numFmtId="3" fontId="31" fillId="7" borderId="6" xfId="1" applyNumberFormat="1" applyFont="1" applyFill="1" applyBorder="1" applyAlignment="1">
      <alignment horizontal="right" vertical="center" wrapText="1"/>
    </xf>
    <xf numFmtId="49" fontId="20" fillId="6" borderId="7" xfId="1" applyNumberFormat="1" applyFont="1" applyFill="1" applyBorder="1" applyAlignment="1">
      <alignment horizontal="center" vertical="center"/>
    </xf>
    <xf numFmtId="0" fontId="36" fillId="6" borderId="9" xfId="1" applyFont="1" applyFill="1" applyBorder="1" applyAlignment="1">
      <alignment horizontal="center"/>
    </xf>
    <xf numFmtId="0" fontId="20" fillId="6" borderId="7" xfId="1" applyFont="1" applyFill="1" applyBorder="1" applyAlignment="1">
      <alignment vertical="center" wrapText="1"/>
    </xf>
    <xf numFmtId="0" fontId="36" fillId="6" borderId="7" xfId="1" applyFont="1" applyFill="1" applyBorder="1" applyAlignment="1">
      <alignment horizontal="center"/>
    </xf>
    <xf numFmtId="3" fontId="20" fillId="6" borderId="14" xfId="1" applyNumberFormat="1" applyFont="1" applyFill="1" applyBorder="1" applyAlignment="1">
      <alignment horizontal="right" vertical="center" wrapText="1"/>
    </xf>
    <xf numFmtId="3" fontId="20" fillId="6" borderId="6" xfId="1" applyNumberFormat="1" applyFont="1" applyFill="1" applyBorder="1" applyAlignment="1">
      <alignment horizontal="right" vertical="center" wrapText="1"/>
    </xf>
    <xf numFmtId="3" fontId="20" fillId="6" borderId="7" xfId="1" applyNumberFormat="1" applyFont="1" applyFill="1" applyBorder="1" applyAlignment="1">
      <alignment horizontal="right" vertical="center" wrapText="1"/>
    </xf>
    <xf numFmtId="0" fontId="20" fillId="6" borderId="7" xfId="1" applyFont="1" applyFill="1" applyBorder="1" applyAlignment="1">
      <alignment horizontal="center" vertical="center"/>
    </xf>
    <xf numFmtId="3" fontId="17" fillId="3" borderId="54" xfId="1" applyNumberFormat="1" applyFont="1" applyFill="1" applyBorder="1" applyAlignment="1">
      <alignment horizontal="right" vertical="center"/>
    </xf>
    <xf numFmtId="3" fontId="31" fillId="7" borderId="6" xfId="1" applyNumberFormat="1" applyFont="1" applyFill="1" applyBorder="1" applyAlignment="1">
      <alignment horizontal="right" vertical="center"/>
    </xf>
    <xf numFmtId="49" fontId="23" fillId="6" borderId="9" xfId="1" applyNumberFormat="1" applyFont="1" applyFill="1" applyBorder="1" applyAlignment="1">
      <alignment horizontal="center" vertical="center"/>
    </xf>
    <xf numFmtId="49" fontId="20" fillId="6" borderId="7" xfId="1" applyNumberFormat="1" applyFont="1" applyFill="1" applyBorder="1" applyAlignment="1">
      <alignment horizontal="left" vertical="center" wrapText="1"/>
    </xf>
    <xf numFmtId="49" fontId="37" fillId="6" borderId="7" xfId="1" applyNumberFormat="1" applyFont="1" applyFill="1" applyBorder="1" applyAlignment="1">
      <alignment horizontal="center" vertical="center"/>
    </xf>
    <xf numFmtId="0" fontId="37" fillId="6" borderId="7" xfId="1" applyFont="1" applyFill="1" applyBorder="1" applyAlignment="1">
      <alignment horizontal="left" vertical="center" wrapText="1"/>
    </xf>
    <xf numFmtId="49" fontId="17" fillId="3" borderId="4" xfId="1" applyNumberFormat="1" applyFont="1" applyFill="1" applyBorder="1" applyAlignment="1">
      <alignment vertical="center"/>
    </xf>
    <xf numFmtId="0" fontId="17" fillId="0" borderId="4" xfId="17" applyFont="1" applyBorder="1" applyAlignment="1">
      <alignment vertical="center" wrapText="1"/>
    </xf>
    <xf numFmtId="49" fontId="31" fillId="7" borderId="7" xfId="1" applyNumberFormat="1" applyFont="1" applyFill="1" applyBorder="1" applyAlignment="1">
      <alignment horizontal="left" vertical="center" wrapText="1"/>
    </xf>
    <xf numFmtId="49" fontId="23" fillId="6" borderId="7" xfId="1" applyNumberFormat="1" applyFont="1" applyFill="1" applyBorder="1" applyAlignment="1">
      <alignment horizontal="center" vertical="center"/>
    </xf>
    <xf numFmtId="0" fontId="23" fillId="6" borderId="7" xfId="1" applyFont="1" applyFill="1" applyBorder="1" applyAlignment="1">
      <alignment horizontal="left" vertical="center" wrapText="1"/>
    </xf>
    <xf numFmtId="3" fontId="31" fillId="7" borderId="14" xfId="1" applyNumberFormat="1" applyFont="1" applyFill="1" applyBorder="1" applyAlignment="1">
      <alignment horizontal="right" vertical="center" wrapText="1"/>
    </xf>
    <xf numFmtId="0" fontId="31" fillId="7" borderId="7" xfId="1" applyFont="1" applyFill="1" applyBorder="1" applyAlignment="1">
      <alignment horizontal="left" vertical="center" wrapText="1"/>
    </xf>
    <xf numFmtId="3" fontId="20" fillId="6" borderId="9" xfId="1" applyNumberFormat="1" applyFont="1" applyFill="1" applyBorder="1" applyAlignment="1">
      <alignment horizontal="right" vertical="center" wrapText="1"/>
    </xf>
    <xf numFmtId="3" fontId="34" fillId="7" borderId="9" xfId="1" applyNumberFormat="1" applyFont="1" applyFill="1" applyBorder="1" applyAlignment="1">
      <alignment horizontal="right" vertical="center"/>
    </xf>
    <xf numFmtId="3" fontId="17" fillId="3" borderId="18" xfId="1" applyNumberFormat="1" applyFont="1" applyFill="1" applyBorder="1" applyAlignment="1">
      <alignment horizontal="right" vertical="center" wrapText="1"/>
    </xf>
    <xf numFmtId="3" fontId="31" fillId="7" borderId="7" xfId="1" applyNumberFormat="1" applyFont="1" applyFill="1" applyBorder="1" applyAlignment="1">
      <alignment vertical="center" wrapText="1"/>
    </xf>
    <xf numFmtId="0" fontId="13" fillId="2" borderId="9" xfId="1" applyFont="1" applyFill="1" applyBorder="1" applyAlignment="1">
      <alignment horizontal="center" vertical="center"/>
    </xf>
    <xf numFmtId="3" fontId="31" fillId="7" borderId="9" xfId="1" applyNumberFormat="1" applyFont="1" applyFill="1" applyBorder="1" applyAlignment="1">
      <alignment horizontal="right" vertical="center" wrapText="1"/>
    </xf>
    <xf numFmtId="3" fontId="31" fillId="7" borderId="7" xfId="1" applyNumberFormat="1" applyFont="1" applyFill="1" applyBorder="1" applyAlignment="1">
      <alignment horizontal="right" vertical="center" wrapText="1"/>
    </xf>
    <xf numFmtId="3" fontId="18" fillId="3" borderId="3" xfId="1" applyNumberFormat="1" applyFont="1" applyFill="1" applyBorder="1" applyAlignment="1">
      <alignment horizontal="right" vertical="center"/>
    </xf>
    <xf numFmtId="3" fontId="31" fillId="7" borderId="14" xfId="1" applyNumberFormat="1" applyFont="1" applyFill="1" applyBorder="1" applyAlignment="1">
      <alignment horizontal="right" vertical="center"/>
    </xf>
    <xf numFmtId="3" fontId="31" fillId="7" borderId="7" xfId="1" applyNumberFormat="1" applyFont="1" applyFill="1" applyBorder="1" applyAlignment="1">
      <alignment vertical="center"/>
    </xf>
    <xf numFmtId="3" fontId="17" fillId="3" borderId="1" xfId="1" applyNumberFormat="1" applyFont="1" applyFill="1" applyBorder="1" applyAlignment="1">
      <alignment vertical="center"/>
    </xf>
    <xf numFmtId="3" fontId="17" fillId="3" borderId="4" xfId="1" applyNumberFormat="1" applyFont="1" applyFill="1" applyBorder="1" applyAlignment="1">
      <alignment vertical="center"/>
    </xf>
    <xf numFmtId="3" fontId="24" fillId="0" borderId="0" xfId="1" applyNumberFormat="1" applyFont="1"/>
    <xf numFmtId="3" fontId="39" fillId="2" borderId="7" xfId="1" applyNumberFormat="1" applyFont="1" applyFill="1" applyBorder="1" applyAlignment="1">
      <alignment horizontal="center" vertical="center"/>
    </xf>
    <xf numFmtId="3" fontId="39" fillId="2" borderId="5" xfId="1" applyNumberFormat="1" applyFont="1" applyFill="1" applyBorder="1" applyAlignment="1">
      <alignment horizontal="center" vertical="center"/>
    </xf>
    <xf numFmtId="0" fontId="40" fillId="2" borderId="7" xfId="1" applyFont="1" applyFill="1" applyBorder="1" applyAlignment="1">
      <alignment horizontal="center" vertical="center" wrapText="1"/>
    </xf>
    <xf numFmtId="3" fontId="17" fillId="0" borderId="58" xfId="5" applyNumberFormat="1" applyFont="1" applyFill="1" applyBorder="1" applyAlignment="1">
      <alignment vertical="center"/>
    </xf>
    <xf numFmtId="3" fontId="17" fillId="0" borderId="46" xfId="5" applyNumberFormat="1" applyFont="1" applyFill="1" applyBorder="1" applyAlignment="1">
      <alignment vertical="center"/>
    </xf>
    <xf numFmtId="3" fontId="17" fillId="0" borderId="39" xfId="5" applyNumberFormat="1" applyFont="1" applyFill="1" applyBorder="1" applyAlignment="1">
      <alignment vertical="center"/>
    </xf>
    <xf numFmtId="3" fontId="13" fillId="5" borderId="8" xfId="5" applyNumberFormat="1" applyFont="1" applyFill="1" applyBorder="1" applyAlignment="1">
      <alignment horizontal="right" vertical="center"/>
    </xf>
    <xf numFmtId="3" fontId="16" fillId="0" borderId="16" xfId="4" applyNumberFormat="1" applyFont="1" applyBorder="1" applyAlignment="1">
      <alignment vertical="center"/>
    </xf>
    <xf numFmtId="3" fontId="16" fillId="0" borderId="44" xfId="4" applyNumberFormat="1" applyFont="1" applyBorder="1" applyAlignment="1">
      <alignment vertical="center"/>
    </xf>
    <xf numFmtId="3" fontId="16" fillId="0" borderId="45" xfId="4" applyNumberFormat="1" applyFont="1" applyBorder="1" applyAlignment="1">
      <alignment vertical="center"/>
    </xf>
    <xf numFmtId="3" fontId="17" fillId="0" borderId="16" xfId="5" applyNumberFormat="1" applyFont="1" applyFill="1" applyBorder="1" applyAlignment="1">
      <alignment vertical="center"/>
    </xf>
    <xf numFmtId="3" fontId="17" fillId="0" borderId="44" xfId="5" applyNumberFormat="1" applyFont="1" applyFill="1" applyBorder="1" applyAlignment="1">
      <alignment vertical="center"/>
    </xf>
    <xf numFmtId="3" fontId="17" fillId="0" borderId="45" xfId="5" applyNumberFormat="1" applyFont="1" applyFill="1" applyBorder="1" applyAlignment="1">
      <alignment vertical="center"/>
    </xf>
    <xf numFmtId="0" fontId="22" fillId="7" borderId="7" xfId="1" applyFont="1" applyFill="1" applyBorder="1" applyAlignment="1">
      <alignment horizontal="left" vertical="center" wrapText="1"/>
    </xf>
    <xf numFmtId="0" fontId="32" fillId="7" borderId="7" xfId="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25" fillId="3" borderId="1" xfId="1" applyNumberFormat="1" applyFont="1" applyFill="1" applyBorder="1" applyAlignment="1">
      <alignment horizontal="center" vertical="center" wrapText="1"/>
    </xf>
    <xf numFmtId="0" fontId="22" fillId="6" borderId="7" xfId="1" applyFont="1" applyFill="1" applyBorder="1" applyAlignment="1">
      <alignment horizontal="center" vertical="center"/>
    </xf>
    <xf numFmtId="3" fontId="17" fillId="3" borderId="43" xfId="1" applyNumberFormat="1" applyFont="1" applyFill="1" applyBorder="1" applyAlignment="1">
      <alignment horizontal="right" vertical="center" wrapText="1"/>
    </xf>
    <xf numFmtId="0" fontId="32" fillId="7" borderId="7" xfId="1" applyFont="1" applyFill="1" applyBorder="1" applyAlignment="1">
      <alignment horizontal="center" vertical="center"/>
    </xf>
    <xf numFmtId="0" fontId="38" fillId="6" borderId="7" xfId="1" applyFont="1" applyFill="1" applyBorder="1" applyAlignment="1">
      <alignment horizontal="center" vertical="center"/>
    </xf>
    <xf numFmtId="3" fontId="6" fillId="3" borderId="0" xfId="1" applyNumberFormat="1" applyFill="1"/>
    <xf numFmtId="0" fontId="16" fillId="5" borderId="8" xfId="4" applyFont="1" applyFill="1" applyBorder="1" applyAlignment="1">
      <alignment horizontal="center" vertical="center"/>
    </xf>
    <xf numFmtId="0" fontId="17" fillId="5" borderId="7" xfId="5" applyFont="1" applyFill="1" applyBorder="1" applyAlignment="1">
      <alignment horizontal="center" vertical="center"/>
    </xf>
    <xf numFmtId="0" fontId="17" fillId="5" borderId="9" xfId="5" applyFont="1" applyFill="1" applyBorder="1" applyAlignment="1">
      <alignment horizontal="center" vertical="center"/>
    </xf>
    <xf numFmtId="0" fontId="17" fillId="5" borderId="8" xfId="5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center" vertical="center"/>
    </xf>
    <xf numFmtId="49" fontId="17" fillId="3" borderId="18" xfId="1" applyNumberFormat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 wrapText="1"/>
    </xf>
    <xf numFmtId="49" fontId="20" fillId="2" borderId="8" xfId="1" applyNumberFormat="1" applyFont="1" applyFill="1" applyBorder="1" applyAlignment="1">
      <alignment horizontal="center" vertical="center"/>
    </xf>
    <xf numFmtId="3" fontId="17" fillId="3" borderId="13" xfId="1" applyNumberFormat="1" applyFont="1" applyFill="1" applyBorder="1" applyAlignment="1">
      <alignment horizontal="right" vertical="center" wrapText="1"/>
    </xf>
    <xf numFmtId="3" fontId="17" fillId="3" borderId="26" xfId="1" applyNumberFormat="1" applyFont="1" applyFill="1" applyBorder="1" applyAlignment="1">
      <alignment horizontal="right" vertical="center" wrapText="1"/>
    </xf>
    <xf numFmtId="3" fontId="17" fillId="3" borderId="28" xfId="1" applyNumberFormat="1" applyFont="1" applyFill="1" applyBorder="1" applyAlignment="1">
      <alignment horizontal="right" vertical="center" wrapText="1"/>
    </xf>
    <xf numFmtId="49" fontId="13" fillId="9" borderId="8" xfId="1" applyNumberFormat="1" applyFont="1" applyFill="1" applyBorder="1" applyAlignment="1">
      <alignment horizontal="center" vertical="center"/>
    </xf>
    <xf numFmtId="0" fontId="6" fillId="9" borderId="7" xfId="1" applyFont="1" applyFill="1" applyBorder="1" applyAlignment="1">
      <alignment horizontal="center"/>
    </xf>
    <xf numFmtId="0" fontId="13" fillId="9" borderId="5" xfId="1" applyFont="1" applyFill="1" applyBorder="1" applyAlignment="1">
      <alignment vertical="center" wrapText="1"/>
    </xf>
    <xf numFmtId="0" fontId="21" fillId="9" borderId="9" xfId="1" applyFont="1" applyFill="1" applyBorder="1" applyAlignment="1">
      <alignment horizontal="center"/>
    </xf>
    <xf numFmtId="3" fontId="13" fillId="9" borderId="64" xfId="1" applyNumberFormat="1" applyFont="1" applyFill="1" applyBorder="1" applyAlignment="1">
      <alignment horizontal="right" vertical="center" wrapText="1"/>
    </xf>
    <xf numFmtId="3" fontId="13" fillId="9" borderId="65" xfId="1" applyNumberFormat="1" applyFont="1" applyFill="1" applyBorder="1" applyAlignment="1">
      <alignment horizontal="right" vertical="center" wrapText="1"/>
    </xf>
    <xf numFmtId="3" fontId="22" fillId="9" borderId="9" xfId="1" applyNumberFormat="1" applyFont="1" applyFill="1" applyBorder="1" applyAlignment="1">
      <alignment horizontal="right" vertical="center" wrapText="1"/>
    </xf>
    <xf numFmtId="3" fontId="13" fillId="9" borderId="60" xfId="1" applyNumberFormat="1" applyFont="1" applyFill="1" applyBorder="1" applyAlignment="1">
      <alignment horizontal="right" vertical="center" wrapText="1"/>
    </xf>
    <xf numFmtId="49" fontId="13" fillId="5" borderId="17" xfId="1" applyNumberFormat="1" applyFont="1" applyFill="1" applyBorder="1" applyAlignment="1">
      <alignment horizontal="center" vertical="center"/>
    </xf>
    <xf numFmtId="0" fontId="41" fillId="5" borderId="74" xfId="1" applyFont="1" applyFill="1" applyBorder="1" applyAlignment="1">
      <alignment vertical="center" wrapText="1"/>
    </xf>
    <xf numFmtId="49" fontId="22" fillId="5" borderId="18" xfId="1" applyNumberFormat="1" applyFont="1" applyFill="1" applyBorder="1" applyAlignment="1">
      <alignment horizontal="center" vertical="center"/>
    </xf>
    <xf numFmtId="3" fontId="41" fillId="5" borderId="62" xfId="1" applyNumberFormat="1" applyFont="1" applyFill="1" applyBorder="1" applyAlignment="1">
      <alignment horizontal="right" vertical="center"/>
    </xf>
    <xf numFmtId="3" fontId="41" fillId="5" borderId="63" xfId="1" applyNumberFormat="1" applyFont="1" applyFill="1" applyBorder="1" applyAlignment="1">
      <alignment horizontal="right" vertical="center"/>
    </xf>
    <xf numFmtId="3" fontId="41" fillId="5" borderId="43" xfId="1" applyNumberFormat="1" applyFont="1" applyFill="1" applyBorder="1" applyAlignment="1">
      <alignment horizontal="right" vertical="center"/>
    </xf>
    <xf numFmtId="49" fontId="17" fillId="3" borderId="50" xfId="1" applyNumberFormat="1" applyFont="1" applyFill="1" applyBorder="1" applyAlignment="1">
      <alignment horizontal="center" vertical="center"/>
    </xf>
    <xf numFmtId="3" fontId="17" fillId="3" borderId="67" xfId="1" applyNumberFormat="1" applyFont="1" applyFill="1" applyBorder="1" applyAlignment="1">
      <alignment horizontal="right" vertical="center" wrapText="1"/>
    </xf>
    <xf numFmtId="3" fontId="17" fillId="3" borderId="69" xfId="1" applyNumberFormat="1" applyFont="1" applyFill="1" applyBorder="1" applyAlignment="1">
      <alignment horizontal="right" vertical="center"/>
    </xf>
    <xf numFmtId="49" fontId="25" fillId="3" borderId="18" xfId="1" applyNumberFormat="1" applyFont="1" applyFill="1" applyBorder="1" applyAlignment="1">
      <alignment horizontal="center" vertical="center"/>
    </xf>
    <xf numFmtId="3" fontId="42" fillId="3" borderId="67" xfId="1" applyNumberFormat="1" applyFont="1" applyFill="1" applyBorder="1" applyAlignment="1">
      <alignment vertical="center"/>
    </xf>
    <xf numFmtId="3" fontId="42" fillId="3" borderId="68" xfId="1" applyNumberFormat="1" applyFont="1" applyFill="1" applyBorder="1" applyAlignment="1">
      <alignment vertical="center"/>
    </xf>
    <xf numFmtId="49" fontId="25" fillId="3" borderId="0" xfId="1" applyNumberFormat="1" applyFont="1" applyFill="1" applyBorder="1" applyAlignment="1">
      <alignment horizontal="center" vertical="center"/>
    </xf>
    <xf numFmtId="3" fontId="42" fillId="3" borderId="61" xfId="1" applyNumberFormat="1" applyFont="1" applyFill="1" applyBorder="1" applyAlignment="1">
      <alignment vertical="center"/>
    </xf>
    <xf numFmtId="3" fontId="42" fillId="3" borderId="69" xfId="1" applyNumberFormat="1" applyFont="1" applyFill="1" applyBorder="1" applyAlignment="1">
      <alignment vertical="center"/>
    </xf>
    <xf numFmtId="49" fontId="17" fillId="9" borderId="7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left" vertical="center" wrapText="1"/>
    </xf>
    <xf numFmtId="49" fontId="25" fillId="9" borderId="9" xfId="1" applyNumberFormat="1" applyFont="1" applyFill="1" applyBorder="1" applyAlignment="1">
      <alignment horizontal="center" vertical="center"/>
    </xf>
    <xf numFmtId="3" fontId="13" fillId="9" borderId="9" xfId="1" applyNumberFormat="1" applyFont="1" applyFill="1" applyBorder="1" applyAlignment="1">
      <alignment horizontal="right" vertical="center" wrapText="1"/>
    </xf>
    <xf numFmtId="49" fontId="13" fillId="5" borderId="74" xfId="1" applyNumberFormat="1" applyFont="1" applyFill="1" applyBorder="1" applyAlignment="1">
      <alignment horizontal="left" vertical="center" wrapText="1"/>
    </xf>
    <xf numFmtId="3" fontId="41" fillId="5" borderId="18" xfId="1" applyNumberFormat="1" applyFont="1" applyFill="1" applyBorder="1" applyAlignment="1">
      <alignment horizontal="right" vertical="center"/>
    </xf>
    <xf numFmtId="49" fontId="25" fillId="3" borderId="51" xfId="1" applyNumberFormat="1" applyFont="1" applyFill="1" applyBorder="1" applyAlignment="1">
      <alignment horizontal="center" vertical="center"/>
    </xf>
    <xf numFmtId="49" fontId="25" fillId="3" borderId="75" xfId="1" applyNumberFormat="1" applyFont="1" applyFill="1" applyBorder="1" applyAlignment="1">
      <alignment horizontal="center" vertical="center" wrapText="1"/>
    </xf>
    <xf numFmtId="3" fontId="18" fillId="3" borderId="61" xfId="1" applyNumberFormat="1" applyFont="1" applyFill="1" applyBorder="1" applyAlignment="1">
      <alignment horizontal="right" vertical="center"/>
    </xf>
    <xf numFmtId="49" fontId="17" fillId="9" borderId="9" xfId="1" applyNumberFormat="1" applyFont="1" applyFill="1" applyBorder="1" applyAlignment="1">
      <alignment horizontal="center" vertical="center"/>
    </xf>
    <xf numFmtId="49" fontId="13" fillId="5" borderId="18" xfId="1" applyNumberFormat="1" applyFont="1" applyFill="1" applyBorder="1" applyAlignment="1">
      <alignment horizontal="center" vertical="center"/>
    </xf>
    <xf numFmtId="3" fontId="13" fillId="5" borderId="62" xfId="1" applyNumberFormat="1" applyFont="1" applyFill="1" applyBorder="1" applyAlignment="1">
      <alignment horizontal="right" vertical="center" wrapText="1"/>
    </xf>
    <xf numFmtId="3" fontId="13" fillId="5" borderId="63" xfId="1" applyNumberFormat="1" applyFont="1" applyFill="1" applyBorder="1" applyAlignment="1">
      <alignment horizontal="right" vertical="center" wrapText="1"/>
    </xf>
    <xf numFmtId="49" fontId="13" fillId="5" borderId="16" xfId="1" applyNumberFormat="1" applyFont="1" applyFill="1" applyBorder="1" applyAlignment="1">
      <alignment horizontal="center" vertical="center"/>
    </xf>
    <xf numFmtId="3" fontId="41" fillId="5" borderId="71" xfId="1" applyNumberFormat="1" applyFont="1" applyFill="1" applyBorder="1" applyAlignment="1">
      <alignment horizontal="right" vertical="center"/>
    </xf>
    <xf numFmtId="3" fontId="41" fillId="5" borderId="72" xfId="1" applyNumberFormat="1" applyFont="1" applyFill="1" applyBorder="1" applyAlignment="1">
      <alignment horizontal="right" vertical="center"/>
    </xf>
    <xf numFmtId="3" fontId="17" fillId="3" borderId="68" xfId="1" applyNumberFormat="1" applyFont="1" applyFill="1" applyBorder="1" applyAlignment="1">
      <alignment horizontal="right" vertical="center" wrapText="1"/>
    </xf>
    <xf numFmtId="3" fontId="41" fillId="5" borderId="49" xfId="1" applyNumberFormat="1" applyFont="1" applyFill="1" applyBorder="1" applyAlignment="1">
      <alignment horizontal="right" vertical="center"/>
    </xf>
    <xf numFmtId="3" fontId="25" fillId="3" borderId="26" xfId="1" applyNumberFormat="1" applyFont="1" applyFill="1" applyBorder="1" applyAlignment="1">
      <alignment horizontal="right" vertical="center" wrapText="1"/>
    </xf>
    <xf numFmtId="3" fontId="25" fillId="3" borderId="13" xfId="1" applyNumberFormat="1" applyFont="1" applyFill="1" applyBorder="1" applyAlignment="1">
      <alignment horizontal="right" vertical="center" wrapText="1"/>
    </xf>
    <xf numFmtId="49" fontId="13" fillId="0" borderId="10" xfId="1" applyNumberFormat="1" applyFont="1" applyFill="1" applyBorder="1" applyAlignment="1">
      <alignment horizontal="center" vertical="center"/>
    </xf>
    <xf numFmtId="49" fontId="17" fillId="3" borderId="37" xfId="1" applyNumberFormat="1" applyFont="1" applyFill="1" applyBorder="1" applyAlignment="1">
      <alignment horizontal="center" vertical="center" wrapText="1"/>
    </xf>
    <xf numFmtId="3" fontId="17" fillId="3" borderId="35" xfId="1" applyNumberFormat="1" applyFont="1" applyFill="1" applyBorder="1" applyAlignment="1">
      <alignment horizontal="right" vertical="center" wrapText="1"/>
    </xf>
    <xf numFmtId="3" fontId="17" fillId="3" borderId="73" xfId="1" applyNumberFormat="1" applyFont="1" applyFill="1" applyBorder="1" applyAlignment="1">
      <alignment horizontal="right" vertical="center"/>
    </xf>
    <xf numFmtId="49" fontId="13" fillId="9" borderId="9" xfId="1" applyNumberFormat="1" applyFont="1" applyFill="1" applyBorder="1" applyAlignment="1">
      <alignment horizontal="center" vertical="center"/>
    </xf>
    <xf numFmtId="3" fontId="13" fillId="9" borderId="8" xfId="1" applyNumberFormat="1" applyFont="1" applyFill="1" applyBorder="1" applyAlignment="1">
      <alignment horizontal="right" vertical="center" wrapText="1"/>
    </xf>
    <xf numFmtId="3" fontId="13" fillId="5" borderId="43" xfId="1" applyNumberFormat="1" applyFont="1" applyFill="1" applyBorder="1" applyAlignment="1">
      <alignment horizontal="right" vertical="center" wrapText="1"/>
    </xf>
    <xf numFmtId="49" fontId="13" fillId="5" borderId="44" xfId="1" applyNumberFormat="1" applyFont="1" applyFill="1" applyBorder="1" applyAlignment="1">
      <alignment horizontal="center" vertical="center"/>
    </xf>
    <xf numFmtId="49" fontId="13" fillId="5" borderId="76" xfId="1" applyNumberFormat="1" applyFont="1" applyFill="1" applyBorder="1" applyAlignment="1">
      <alignment horizontal="left" vertical="center" wrapText="1"/>
    </xf>
    <xf numFmtId="49" fontId="13" fillId="5" borderId="50" xfId="1" applyNumberFormat="1" applyFont="1" applyFill="1" applyBorder="1" applyAlignment="1">
      <alignment horizontal="center" vertical="center"/>
    </xf>
    <xf numFmtId="3" fontId="13" fillId="5" borderId="67" xfId="1" applyNumberFormat="1" applyFont="1" applyFill="1" applyBorder="1" applyAlignment="1">
      <alignment horizontal="right" vertical="center" wrapText="1"/>
    </xf>
    <xf numFmtId="3" fontId="13" fillId="5" borderId="68" xfId="1" applyNumberFormat="1" applyFont="1" applyFill="1" applyBorder="1" applyAlignment="1">
      <alignment horizontal="right" vertical="center" wrapText="1"/>
    </xf>
    <xf numFmtId="3" fontId="13" fillId="5" borderId="46" xfId="1" applyNumberFormat="1" applyFont="1" applyFill="1" applyBorder="1" applyAlignment="1">
      <alignment horizontal="right" vertical="center" wrapText="1"/>
    </xf>
    <xf numFmtId="3" fontId="13" fillId="5" borderId="49" xfId="1" applyNumberFormat="1" applyFont="1" applyFill="1" applyBorder="1" applyAlignment="1">
      <alignment horizontal="right" vertical="center" wrapText="1"/>
    </xf>
    <xf numFmtId="3" fontId="13" fillId="5" borderId="76" xfId="1" applyNumberFormat="1" applyFont="1" applyFill="1" applyBorder="1" applyAlignment="1">
      <alignment horizontal="right" vertical="center" wrapText="1"/>
    </xf>
    <xf numFmtId="49" fontId="17" fillId="3" borderId="25" xfId="1" applyNumberFormat="1" applyFont="1" applyFill="1" applyBorder="1" applyAlignment="1">
      <alignment horizontal="center" vertical="center" wrapText="1"/>
    </xf>
    <xf numFmtId="49" fontId="13" fillId="9" borderId="7" xfId="1" applyNumberFormat="1" applyFont="1" applyFill="1" applyBorder="1" applyAlignment="1">
      <alignment horizontal="center" vertical="center"/>
    </xf>
    <xf numFmtId="49" fontId="22" fillId="9" borderId="9" xfId="1" applyNumberFormat="1" applyFont="1" applyFill="1" applyBorder="1" applyAlignment="1">
      <alignment horizontal="center" vertical="center"/>
    </xf>
    <xf numFmtId="0" fontId="43" fillId="0" borderId="0" xfId="1" applyFont="1"/>
    <xf numFmtId="3" fontId="41" fillId="5" borderId="12" xfId="1" applyNumberFormat="1" applyFont="1" applyFill="1" applyBorder="1" applyAlignment="1">
      <alignment horizontal="right" vertical="center"/>
    </xf>
    <xf numFmtId="49" fontId="25" fillId="3" borderId="51" xfId="1" applyNumberFormat="1" applyFont="1" applyFill="1" applyBorder="1" applyAlignment="1">
      <alignment vertical="center"/>
    </xf>
    <xf numFmtId="49" fontId="25" fillId="3" borderId="1" xfId="1" applyNumberFormat="1" applyFont="1" applyFill="1" applyBorder="1" applyAlignment="1">
      <alignment vertical="center"/>
    </xf>
    <xf numFmtId="3" fontId="17" fillId="0" borderId="68" xfId="1" applyNumberFormat="1" applyFont="1" applyFill="1" applyBorder="1" applyAlignment="1">
      <alignment horizontal="right" vertical="center" wrapText="1"/>
    </xf>
    <xf numFmtId="49" fontId="25" fillId="3" borderId="50" xfId="1" applyNumberFormat="1" applyFont="1" applyFill="1" applyBorder="1" applyAlignment="1">
      <alignment horizontal="center" vertical="center"/>
    </xf>
    <xf numFmtId="3" fontId="25" fillId="3" borderId="67" xfId="1" applyNumberFormat="1" applyFont="1" applyFill="1" applyBorder="1" applyAlignment="1">
      <alignment horizontal="right" vertical="center" wrapText="1"/>
    </xf>
    <xf numFmtId="3" fontId="25" fillId="3" borderId="68" xfId="1" applyNumberFormat="1" applyFont="1" applyFill="1" applyBorder="1" applyAlignment="1">
      <alignment horizontal="right" vertical="center" wrapText="1"/>
    </xf>
    <xf numFmtId="0" fontId="13" fillId="5" borderId="76" xfId="1" applyFont="1" applyFill="1" applyBorder="1" applyAlignment="1">
      <alignment vertical="center" wrapText="1"/>
    </xf>
    <xf numFmtId="3" fontId="41" fillId="5" borderId="67" xfId="1" applyNumberFormat="1" applyFont="1" applyFill="1" applyBorder="1" applyAlignment="1">
      <alignment horizontal="right" vertical="center"/>
    </xf>
    <xf numFmtId="3" fontId="41" fillId="5" borderId="68" xfId="1" applyNumberFormat="1" applyFont="1" applyFill="1" applyBorder="1" applyAlignment="1">
      <alignment horizontal="right" vertical="center"/>
    </xf>
    <xf numFmtId="3" fontId="41" fillId="5" borderId="50" xfId="1" applyNumberFormat="1" applyFont="1" applyFill="1" applyBorder="1" applyAlignment="1">
      <alignment horizontal="right" vertical="center"/>
    </xf>
    <xf numFmtId="3" fontId="13" fillId="5" borderId="43" xfId="1" applyNumberFormat="1" applyFont="1" applyFill="1" applyBorder="1" applyAlignment="1">
      <alignment vertical="center" wrapText="1"/>
    </xf>
    <xf numFmtId="3" fontId="18" fillId="3" borderId="62" xfId="1" applyNumberFormat="1" applyFont="1" applyFill="1" applyBorder="1" applyAlignment="1">
      <alignment horizontal="right" vertical="center"/>
    </xf>
    <xf numFmtId="3" fontId="18" fillId="3" borderId="63" xfId="1" applyNumberFormat="1" applyFont="1" applyFill="1" applyBorder="1" applyAlignment="1">
      <alignment horizontal="right" vertical="center"/>
    </xf>
    <xf numFmtId="3" fontId="20" fillId="2" borderId="8" xfId="1" applyNumberFormat="1" applyFont="1" applyFill="1" applyBorder="1" applyAlignment="1">
      <alignment horizontal="center" vertical="center"/>
    </xf>
    <xf numFmtId="3" fontId="20" fillId="2" borderId="7" xfId="1" applyNumberFormat="1" applyFont="1" applyFill="1" applyBorder="1" applyAlignment="1">
      <alignment horizontal="center" vertical="center"/>
    </xf>
    <xf numFmtId="3" fontId="20" fillId="2" borderId="9" xfId="1" applyNumberFormat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center" vertical="center"/>
    </xf>
    <xf numFmtId="3" fontId="17" fillId="3" borderId="1" xfId="1" applyNumberFormat="1" applyFont="1" applyFill="1" applyBorder="1" applyAlignment="1">
      <alignment horizontal="right" vertical="center" wrapText="1"/>
    </xf>
    <xf numFmtId="3" fontId="17" fillId="3" borderId="4" xfId="1" applyNumberFormat="1" applyFont="1" applyFill="1" applyBorder="1" applyAlignment="1">
      <alignment horizontal="right" vertical="center" wrapText="1"/>
    </xf>
    <xf numFmtId="3" fontId="17" fillId="3" borderId="53" xfId="1" applyNumberFormat="1" applyFont="1" applyFill="1" applyBorder="1" applyAlignment="1">
      <alignment horizontal="right" vertical="center"/>
    </xf>
    <xf numFmtId="3" fontId="17" fillId="3" borderId="38" xfId="1" applyNumberFormat="1" applyFont="1" applyFill="1" applyBorder="1" applyAlignment="1">
      <alignment horizontal="right" vertical="center"/>
    </xf>
    <xf numFmtId="3" fontId="17" fillId="3" borderId="4" xfId="1" applyNumberFormat="1" applyFont="1" applyFill="1" applyBorder="1" applyAlignment="1">
      <alignment horizontal="right" vertical="center"/>
    </xf>
    <xf numFmtId="0" fontId="17" fillId="0" borderId="4" xfId="17" applyFont="1" applyBorder="1" applyAlignment="1">
      <alignment horizontal="left" vertical="center" wrapText="1"/>
    </xf>
    <xf numFmtId="49" fontId="17" fillId="3" borderId="17" xfId="1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 wrapText="1"/>
    </xf>
    <xf numFmtId="0" fontId="17" fillId="3" borderId="4" xfId="1" applyFont="1" applyFill="1" applyBorder="1" applyAlignment="1">
      <alignment horizontal="left" vertical="center" wrapText="1"/>
    </xf>
    <xf numFmtId="49" fontId="25" fillId="3" borderId="4" xfId="1" applyNumberFormat="1" applyFont="1" applyFill="1" applyBorder="1" applyAlignment="1">
      <alignment horizontal="center" vertical="center"/>
    </xf>
    <xf numFmtId="49" fontId="31" fillId="7" borderId="22" xfId="1" applyNumberFormat="1" applyFont="1" applyFill="1" applyBorder="1" applyAlignment="1">
      <alignment horizontal="center" vertical="center"/>
    </xf>
    <xf numFmtId="49" fontId="31" fillId="7" borderId="21" xfId="1" applyNumberFormat="1" applyFont="1" applyFill="1" applyBorder="1" applyAlignment="1">
      <alignment horizontal="left" vertical="center" wrapText="1"/>
    </xf>
    <xf numFmtId="49" fontId="32" fillId="7" borderId="21" xfId="1" applyNumberFormat="1" applyFont="1" applyFill="1" applyBorder="1" applyAlignment="1">
      <alignment horizontal="center" vertical="center"/>
    </xf>
    <xf numFmtId="3" fontId="34" fillId="7" borderId="21" xfId="1" applyNumberFormat="1" applyFont="1" applyFill="1" applyBorder="1" applyAlignment="1">
      <alignment horizontal="right" vertical="center"/>
    </xf>
    <xf numFmtId="3" fontId="34" fillId="7" borderId="77" xfId="1" applyNumberFormat="1" applyFont="1" applyFill="1" applyBorder="1" applyAlignment="1">
      <alignment horizontal="right" vertical="center"/>
    </xf>
    <xf numFmtId="3" fontId="34" fillId="7" borderId="78" xfId="1" applyNumberFormat="1" applyFont="1" applyFill="1" applyBorder="1" applyAlignment="1">
      <alignment horizontal="right" vertical="center"/>
    </xf>
    <xf numFmtId="0" fontId="32" fillId="7" borderId="21" xfId="1" applyFont="1" applyFill="1" applyBorder="1" applyAlignment="1">
      <alignment horizontal="left" vertical="center" wrapText="1"/>
    </xf>
    <xf numFmtId="49" fontId="13" fillId="0" borderId="7" xfId="1" applyNumberFormat="1" applyFont="1" applyBorder="1" applyAlignment="1">
      <alignment horizontal="center" vertical="center"/>
    </xf>
    <xf numFmtId="49" fontId="17" fillId="3" borderId="7" xfId="1" applyNumberFormat="1" applyFont="1" applyFill="1" applyBorder="1" applyAlignment="1">
      <alignment vertical="center"/>
    </xf>
    <xf numFmtId="49" fontId="17" fillId="3" borderId="7" xfId="1" applyNumberFormat="1" applyFont="1" applyFill="1" applyBorder="1" applyAlignment="1">
      <alignment vertical="center" wrapText="1"/>
    </xf>
    <xf numFmtId="49" fontId="17" fillId="3" borderId="7" xfId="1" applyNumberFormat="1" applyFont="1" applyFill="1" applyBorder="1" applyAlignment="1">
      <alignment horizontal="center" vertical="center"/>
    </xf>
    <xf numFmtId="3" fontId="17" fillId="3" borderId="7" xfId="1" applyNumberFormat="1" applyFont="1" applyFill="1" applyBorder="1" applyAlignment="1">
      <alignment horizontal="right" vertical="center" wrapText="1"/>
    </xf>
    <xf numFmtId="3" fontId="17" fillId="3" borderId="9" xfId="1" applyNumberFormat="1" applyFont="1" applyFill="1" applyBorder="1" applyAlignment="1">
      <alignment horizontal="right" vertical="center" wrapText="1"/>
    </xf>
    <xf numFmtId="3" fontId="18" fillId="3" borderId="9" xfId="1" applyNumberFormat="1" applyFont="1" applyFill="1" applyBorder="1" applyAlignment="1">
      <alignment horizontal="right" vertical="center"/>
    </xf>
    <xf numFmtId="3" fontId="17" fillId="3" borderId="7" xfId="1" applyNumberFormat="1" applyFont="1" applyFill="1" applyBorder="1" applyAlignment="1">
      <alignment vertical="center"/>
    </xf>
    <xf numFmtId="3" fontId="17" fillId="3" borderId="14" xfId="1" applyNumberFormat="1" applyFont="1" applyFill="1" applyBorder="1" applyAlignment="1">
      <alignment horizontal="right" vertical="center"/>
    </xf>
    <xf numFmtId="3" fontId="17" fillId="3" borderId="6" xfId="1" applyNumberFormat="1" applyFont="1" applyFill="1" applyBorder="1" applyAlignment="1">
      <alignment horizontal="right" vertical="center"/>
    </xf>
    <xf numFmtId="0" fontId="17" fillId="0" borderId="7" xfId="17" applyFont="1" applyBorder="1" applyAlignment="1">
      <alignment vertical="center" wrapText="1"/>
    </xf>
    <xf numFmtId="0" fontId="32" fillId="0" borderId="0" xfId="1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35" fillId="7" borderId="7" xfId="1" applyFont="1" applyFill="1" applyBorder="1" applyAlignment="1">
      <alignment vertical="center"/>
    </xf>
    <xf numFmtId="49" fontId="27" fillId="3" borderId="1" xfId="1" applyNumberFormat="1" applyFont="1" applyFill="1" applyBorder="1" applyAlignment="1">
      <alignment horizontal="center" vertical="center"/>
    </xf>
    <xf numFmtId="49" fontId="25" fillId="3" borderId="3" xfId="1" applyNumberFormat="1" applyFont="1" applyFill="1" applyBorder="1" applyAlignment="1">
      <alignment horizontal="left" vertical="center" wrapText="1"/>
    </xf>
    <xf numFmtId="49" fontId="27" fillId="3" borderId="4" xfId="1" applyNumberFormat="1" applyFont="1" applyFill="1" applyBorder="1" applyAlignment="1">
      <alignment vertical="center"/>
    </xf>
    <xf numFmtId="49" fontId="22" fillId="0" borderId="1" xfId="1" applyNumberFormat="1" applyFont="1" applyBorder="1" applyAlignment="1">
      <alignment vertical="center"/>
    </xf>
    <xf numFmtId="49" fontId="22" fillId="0" borderId="4" xfId="1" applyNumberFormat="1" applyFont="1" applyBorder="1" applyAlignment="1">
      <alignment vertical="center"/>
    </xf>
    <xf numFmtId="49" fontId="22" fillId="0" borderId="1" xfId="1" applyNumberFormat="1" applyFont="1" applyFill="1" applyBorder="1" applyAlignment="1">
      <alignment vertical="center"/>
    </xf>
    <xf numFmtId="49" fontId="22" fillId="0" borderId="4" xfId="1" applyNumberFormat="1" applyFont="1" applyFill="1" applyBorder="1" applyAlignment="1">
      <alignment vertical="center"/>
    </xf>
    <xf numFmtId="0" fontId="37" fillId="2" borderId="5" xfId="1" applyFont="1" applyFill="1" applyBorder="1" applyAlignment="1">
      <alignment horizontal="center" vertical="center" wrapText="1"/>
    </xf>
    <xf numFmtId="49" fontId="17" fillId="3" borderId="18" xfId="1" applyNumberFormat="1" applyFont="1" applyFill="1" applyBorder="1" applyAlignment="1">
      <alignment horizontal="center" vertical="center"/>
    </xf>
    <xf numFmtId="3" fontId="25" fillId="3" borderId="13" xfId="1" applyNumberFormat="1" applyFont="1" applyFill="1" applyBorder="1" applyAlignment="1">
      <alignment horizontal="right" vertical="center" wrapText="1"/>
    </xf>
    <xf numFmtId="3" fontId="25" fillId="3" borderId="36" xfId="1" applyNumberFormat="1" applyFont="1" applyFill="1" applyBorder="1" applyAlignment="1">
      <alignment horizontal="right" vertical="center" wrapText="1"/>
    </xf>
    <xf numFmtId="3" fontId="25" fillId="3" borderId="26" xfId="1" applyNumberFormat="1" applyFont="1" applyFill="1" applyBorder="1" applyAlignment="1">
      <alignment horizontal="right" vertical="center" wrapText="1"/>
    </xf>
    <xf numFmtId="0" fontId="16" fillId="0" borderId="52" xfId="19" applyFont="1" applyBorder="1" applyAlignment="1">
      <alignment horizontal="left" vertical="center"/>
    </xf>
    <xf numFmtId="49" fontId="17" fillId="3" borderId="1" xfId="1" applyNumberFormat="1" applyFont="1" applyFill="1" applyBorder="1" applyAlignment="1">
      <alignment horizontal="center" vertical="center"/>
    </xf>
    <xf numFmtId="3" fontId="17" fillId="3" borderId="38" xfId="1" applyNumberFormat="1" applyFont="1" applyFill="1" applyBorder="1" applyAlignment="1">
      <alignment horizontal="right" vertical="center"/>
    </xf>
    <xf numFmtId="49" fontId="17" fillId="3" borderId="4" xfId="1" applyNumberFormat="1" applyFont="1" applyFill="1" applyBorder="1" applyAlignment="1">
      <alignment horizontal="center" vertical="center"/>
    </xf>
    <xf numFmtId="49" fontId="17" fillId="3" borderId="18" xfId="1" applyNumberFormat="1" applyFont="1" applyFill="1" applyBorder="1" applyAlignment="1">
      <alignment horizontal="center" vertical="center"/>
    </xf>
    <xf numFmtId="49" fontId="17" fillId="3" borderId="2" xfId="1" applyNumberFormat="1" applyFont="1" applyFill="1" applyBorder="1" applyAlignment="1">
      <alignment horizontal="center" vertical="center"/>
    </xf>
    <xf numFmtId="3" fontId="17" fillId="3" borderId="4" xfId="1" applyNumberFormat="1" applyFont="1" applyFill="1" applyBorder="1" applyAlignment="1">
      <alignment horizontal="right" vertical="center" wrapText="1"/>
    </xf>
    <xf numFmtId="3" fontId="17" fillId="3" borderId="13" xfId="1" applyNumberFormat="1" applyFont="1" applyFill="1" applyBorder="1" applyAlignment="1">
      <alignment horizontal="right" vertical="center"/>
    </xf>
    <xf numFmtId="3" fontId="17" fillId="3" borderId="36" xfId="1" applyNumberFormat="1" applyFont="1" applyFill="1" applyBorder="1" applyAlignment="1">
      <alignment horizontal="right" vertical="center"/>
    </xf>
    <xf numFmtId="49" fontId="22" fillId="5" borderId="17" xfId="1" applyNumberFormat="1" applyFont="1" applyFill="1" applyBorder="1" applyAlignment="1">
      <alignment horizontal="center" vertical="center"/>
    </xf>
    <xf numFmtId="3" fontId="25" fillId="3" borderId="63" xfId="1" applyNumberFormat="1" applyFont="1" applyFill="1" applyBorder="1" applyAlignment="1">
      <alignment horizontal="right" vertical="center"/>
    </xf>
    <xf numFmtId="3" fontId="25" fillId="0" borderId="68" xfId="1" applyNumberFormat="1" applyFont="1" applyFill="1" applyBorder="1" applyAlignment="1">
      <alignment horizontal="right" vertical="center" wrapText="1"/>
    </xf>
    <xf numFmtId="49" fontId="20" fillId="2" borderId="7" xfId="1" applyNumberFormat="1" applyFont="1" applyFill="1" applyBorder="1" applyAlignment="1">
      <alignment horizontal="center" vertical="center"/>
    </xf>
    <xf numFmtId="49" fontId="17" fillId="3" borderId="1" xfId="1" applyNumberFormat="1" applyFont="1" applyFill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center" vertical="center"/>
    </xf>
    <xf numFmtId="3" fontId="18" fillId="3" borderId="67" xfId="1" applyNumberFormat="1" applyFont="1" applyFill="1" applyBorder="1" applyAlignment="1">
      <alignment vertical="center"/>
    </xf>
    <xf numFmtId="3" fontId="18" fillId="3" borderId="68" xfId="1" applyNumberFormat="1" applyFont="1" applyFill="1" applyBorder="1" applyAlignment="1">
      <alignment vertical="center"/>
    </xf>
    <xf numFmtId="3" fontId="17" fillId="3" borderId="61" xfId="1" applyNumberFormat="1" applyFont="1" applyFill="1" applyBorder="1" applyAlignment="1">
      <alignment horizontal="right" vertical="center" wrapText="1"/>
    </xf>
    <xf numFmtId="3" fontId="17" fillId="3" borderId="42" xfId="1" applyNumberFormat="1" applyFont="1" applyFill="1" applyBorder="1" applyAlignment="1">
      <alignment vertical="center"/>
    </xf>
    <xf numFmtId="3" fontId="17" fillId="3" borderId="42" xfId="1" applyNumberFormat="1" applyFont="1" applyFill="1" applyBorder="1" applyAlignment="1">
      <alignment horizontal="right" vertical="center"/>
    </xf>
    <xf numFmtId="3" fontId="17" fillId="3" borderId="49" xfId="1" applyNumberFormat="1" applyFont="1" applyFill="1" applyBorder="1" applyAlignment="1">
      <alignment vertical="center"/>
    </xf>
    <xf numFmtId="3" fontId="17" fillId="3" borderId="49" xfId="1" applyNumberFormat="1" applyFont="1" applyFill="1" applyBorder="1" applyAlignment="1">
      <alignment horizontal="right" vertical="center"/>
    </xf>
    <xf numFmtId="1" fontId="18" fillId="3" borderId="18" xfId="1" applyNumberFormat="1" applyFont="1" applyFill="1" applyBorder="1" applyAlignment="1">
      <alignment horizontal="center" vertical="center"/>
    </xf>
    <xf numFmtId="3" fontId="17" fillId="3" borderId="43" xfId="1" applyNumberFormat="1" applyFont="1" applyFill="1" applyBorder="1" applyAlignment="1">
      <alignment vertical="center" wrapText="1"/>
    </xf>
    <xf numFmtId="49" fontId="18" fillId="3" borderId="18" xfId="1" applyNumberFormat="1" applyFont="1" applyFill="1" applyBorder="1" applyAlignment="1">
      <alignment horizontal="center" vertical="center"/>
    </xf>
    <xf numFmtId="49" fontId="17" fillId="3" borderId="70" xfId="1" applyNumberFormat="1" applyFont="1" applyFill="1" applyBorder="1" applyAlignment="1">
      <alignment horizontal="center" vertical="center"/>
    </xf>
    <xf numFmtId="49" fontId="17" fillId="0" borderId="45" xfId="1" applyNumberFormat="1" applyFont="1" applyFill="1" applyBorder="1" applyAlignment="1">
      <alignment horizontal="center" vertical="center"/>
    </xf>
    <xf numFmtId="49" fontId="13" fillId="0" borderId="45" xfId="1" applyNumberFormat="1" applyFont="1" applyFill="1" applyBorder="1" applyAlignment="1">
      <alignment horizontal="center" vertical="center" wrapText="1"/>
    </xf>
    <xf numFmtId="3" fontId="17" fillId="3" borderId="35" xfId="1" applyNumberFormat="1" applyFont="1" applyFill="1" applyBorder="1" applyAlignment="1">
      <alignment vertical="center" wrapText="1"/>
    </xf>
    <xf numFmtId="3" fontId="17" fillId="3" borderId="73" xfId="1" applyNumberFormat="1" applyFont="1" applyFill="1" applyBorder="1" applyAlignment="1">
      <alignment vertical="center" wrapText="1"/>
    </xf>
    <xf numFmtId="3" fontId="17" fillId="3" borderId="11" xfId="1" applyNumberFormat="1" applyFont="1" applyFill="1" applyBorder="1" applyAlignment="1">
      <alignment vertical="center" wrapText="1"/>
    </xf>
    <xf numFmtId="3" fontId="17" fillId="3" borderId="68" xfId="1" applyNumberFormat="1" applyFont="1" applyFill="1" applyBorder="1" applyAlignment="1">
      <alignment horizontal="right" vertical="center"/>
    </xf>
    <xf numFmtId="3" fontId="17" fillId="3" borderId="62" xfId="1" applyNumberFormat="1" applyFont="1" applyFill="1" applyBorder="1" applyAlignment="1">
      <alignment horizontal="right" vertical="center" wrapText="1"/>
    </xf>
    <xf numFmtId="3" fontId="17" fillId="3" borderId="43" xfId="1" applyNumberFormat="1" applyFont="1" applyFill="1" applyBorder="1" applyAlignment="1">
      <alignment horizontal="right" vertical="center"/>
    </xf>
    <xf numFmtId="3" fontId="41" fillId="5" borderId="30" xfId="1" applyNumberFormat="1" applyFont="1" applyFill="1" applyBorder="1" applyAlignment="1">
      <alignment horizontal="right" vertical="center"/>
    </xf>
    <xf numFmtId="3" fontId="13" fillId="5" borderId="63" xfId="1" applyNumberFormat="1" applyFont="1" applyFill="1" applyBorder="1" applyAlignment="1">
      <alignment horizontal="right" vertical="center"/>
    </xf>
    <xf numFmtId="3" fontId="17" fillId="3" borderId="11" xfId="1" applyNumberFormat="1" applyFont="1" applyFill="1" applyBorder="1" applyAlignment="1">
      <alignment horizontal="right" vertical="center" wrapText="1"/>
    </xf>
    <xf numFmtId="49" fontId="25" fillId="3" borderId="46" xfId="1" applyNumberFormat="1" applyFont="1" applyFill="1" applyBorder="1" applyAlignment="1">
      <alignment horizontal="center" vertical="center"/>
    </xf>
    <xf numFmtId="3" fontId="17" fillId="3" borderId="29" xfId="1" applyNumberFormat="1" applyFont="1" applyFill="1" applyBorder="1" applyAlignment="1">
      <alignment horizontal="right" vertical="center"/>
    </xf>
    <xf numFmtId="0" fontId="46" fillId="0" borderId="0" xfId="1" applyFont="1" applyBorder="1" applyAlignment="1">
      <alignment horizontal="right" vertical="center" wrapText="1"/>
    </xf>
    <xf numFmtId="3" fontId="17" fillId="3" borderId="43" xfId="1" applyNumberFormat="1" applyFont="1" applyFill="1" applyBorder="1" applyAlignment="1">
      <alignment vertical="center"/>
    </xf>
    <xf numFmtId="3" fontId="17" fillId="3" borderId="27" xfId="1" applyNumberFormat="1" applyFont="1" applyFill="1" applyBorder="1" applyAlignment="1">
      <alignment horizontal="right" vertical="center"/>
    </xf>
    <xf numFmtId="49" fontId="17" fillId="3" borderId="44" xfId="1" applyNumberFormat="1" applyFont="1" applyFill="1" applyBorder="1" applyAlignment="1">
      <alignment horizontal="center" vertical="center"/>
    </xf>
    <xf numFmtId="3" fontId="17" fillId="3" borderId="47" xfId="1" applyNumberFormat="1" applyFont="1" applyFill="1" applyBorder="1" applyAlignment="1">
      <alignment horizontal="right" vertical="center" wrapText="1"/>
    </xf>
    <xf numFmtId="3" fontId="17" fillId="3" borderId="48" xfId="1" applyNumberFormat="1" applyFont="1" applyFill="1" applyBorder="1" applyAlignment="1">
      <alignment horizontal="right" vertical="center"/>
    </xf>
    <xf numFmtId="0" fontId="17" fillId="3" borderId="44" xfId="1" applyFont="1" applyFill="1" applyBorder="1" applyAlignment="1">
      <alignment vertical="center" wrapText="1"/>
    </xf>
    <xf numFmtId="0" fontId="34" fillId="7" borderId="9" xfId="1" applyFont="1" applyFill="1" applyBorder="1" applyAlignment="1">
      <alignment vertical="center" wrapText="1"/>
    </xf>
    <xf numFmtId="3" fontId="34" fillId="7" borderId="14" xfId="1" applyNumberFormat="1" applyFont="1" applyFill="1" applyBorder="1" applyAlignment="1">
      <alignment horizontal="right" vertical="center"/>
    </xf>
    <xf numFmtId="3" fontId="34" fillId="7" borderId="60" xfId="1" applyNumberFormat="1" applyFont="1" applyFill="1" applyBorder="1" applyAlignment="1">
      <alignment horizontal="right" vertical="center"/>
    </xf>
    <xf numFmtId="3" fontId="34" fillId="7" borderId="6" xfId="1" applyNumberFormat="1" applyFont="1" applyFill="1" applyBorder="1" applyAlignment="1">
      <alignment horizontal="right" vertical="center"/>
    </xf>
    <xf numFmtId="49" fontId="20" fillId="6" borderId="8" xfId="1" applyNumberFormat="1" applyFont="1" applyFill="1" applyBorder="1" applyAlignment="1">
      <alignment horizontal="center" vertical="center"/>
    </xf>
    <xf numFmtId="0" fontId="20" fillId="6" borderId="9" xfId="1" applyFont="1" applyFill="1" applyBorder="1" applyAlignment="1">
      <alignment vertical="center" wrapText="1"/>
    </xf>
    <xf numFmtId="3" fontId="18" fillId="3" borderId="53" xfId="1" applyNumberFormat="1" applyFont="1" applyFill="1" applyBorder="1" applyAlignment="1">
      <alignment horizontal="right" vertical="center"/>
    </xf>
    <xf numFmtId="3" fontId="17" fillId="3" borderId="54" xfId="1" applyNumberFormat="1" applyFont="1" applyFill="1" applyBorder="1" applyAlignment="1">
      <alignment vertical="center"/>
    </xf>
    <xf numFmtId="49" fontId="31" fillId="7" borderId="9" xfId="1" applyNumberFormat="1" applyFont="1" applyFill="1" applyBorder="1" applyAlignment="1">
      <alignment horizontal="left" vertical="center" wrapText="1"/>
    </xf>
    <xf numFmtId="3" fontId="31" fillId="7" borderId="60" xfId="1" applyNumberFormat="1" applyFont="1" applyFill="1" applyBorder="1" applyAlignment="1">
      <alignment vertical="center"/>
    </xf>
    <xf numFmtId="3" fontId="31" fillId="7" borderId="6" xfId="1" applyNumberFormat="1" applyFont="1" applyFill="1" applyBorder="1" applyAlignment="1">
      <alignment vertical="center"/>
    </xf>
    <xf numFmtId="49" fontId="22" fillId="0" borderId="21" xfId="1" applyNumberFormat="1" applyFont="1" applyFill="1" applyBorder="1" applyAlignment="1">
      <alignment vertical="center"/>
    </xf>
    <xf numFmtId="3" fontId="17" fillId="3" borderId="73" xfId="1" applyNumberFormat="1" applyFont="1" applyFill="1" applyBorder="1" applyAlignment="1">
      <alignment vertical="center"/>
    </xf>
    <xf numFmtId="3" fontId="17" fillId="3" borderId="41" xfId="1" applyNumberFormat="1" applyFont="1" applyFill="1" applyBorder="1" applyAlignment="1">
      <alignment vertical="center"/>
    </xf>
    <xf numFmtId="0" fontId="13" fillId="7" borderId="7" xfId="1" applyFont="1" applyFill="1" applyBorder="1" applyAlignment="1">
      <alignment horizontal="left" vertical="center" wrapText="1"/>
    </xf>
    <xf numFmtId="0" fontId="17" fillId="3" borderId="4" xfId="1" applyFont="1" applyFill="1" applyBorder="1" applyAlignment="1">
      <alignment vertical="center" wrapText="1"/>
    </xf>
    <xf numFmtId="49" fontId="26" fillId="3" borderId="4" xfId="1" applyNumberFormat="1" applyFont="1" applyFill="1" applyBorder="1" applyAlignment="1">
      <alignment vertical="center"/>
    </xf>
    <xf numFmtId="3" fontId="18" fillId="3" borderId="38" xfId="1" applyNumberFormat="1" applyFont="1" applyFill="1" applyBorder="1" applyAlignment="1">
      <alignment horizontal="right" vertical="center"/>
    </xf>
    <xf numFmtId="3" fontId="17" fillId="3" borderId="55" xfId="1" applyNumberFormat="1" applyFont="1" applyFill="1" applyBorder="1" applyAlignment="1">
      <alignment vertical="center"/>
    </xf>
    <xf numFmtId="0" fontId="17" fillId="0" borderId="4" xfId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justify" vertical="center" wrapText="1"/>
    </xf>
    <xf numFmtId="49" fontId="48" fillId="6" borderId="7" xfId="1" applyNumberFormat="1" applyFont="1" applyFill="1" applyBorder="1" applyAlignment="1">
      <alignment horizontal="center" vertical="center"/>
    </xf>
    <xf numFmtId="49" fontId="20" fillId="6" borderId="9" xfId="1" applyNumberFormat="1" applyFont="1" applyFill="1" applyBorder="1" applyAlignment="1">
      <alignment horizontal="left" vertical="center" wrapText="1"/>
    </xf>
    <xf numFmtId="3" fontId="17" fillId="3" borderId="53" xfId="1" applyNumberFormat="1" applyFont="1" applyFill="1" applyBorder="1" applyAlignment="1">
      <alignment horizontal="right" vertical="center" wrapText="1"/>
    </xf>
    <xf numFmtId="0" fontId="17" fillId="3" borderId="1" xfId="1" applyFont="1" applyFill="1" applyBorder="1" applyAlignment="1">
      <alignment vertical="center" wrapText="1"/>
    </xf>
    <xf numFmtId="3" fontId="17" fillId="3" borderId="41" xfId="1" applyNumberFormat="1" applyFont="1" applyFill="1" applyBorder="1" applyAlignment="1">
      <alignment horizontal="right" vertical="center"/>
    </xf>
    <xf numFmtId="3" fontId="17" fillId="3" borderId="2" xfId="1" applyNumberFormat="1" applyFont="1" applyFill="1" applyBorder="1" applyAlignment="1">
      <alignment horizontal="right" vertical="center"/>
    </xf>
    <xf numFmtId="0" fontId="17" fillId="3" borderId="45" xfId="1" applyFont="1" applyFill="1" applyBorder="1" applyAlignment="1">
      <alignment vertical="center" wrapText="1"/>
    </xf>
    <xf numFmtId="3" fontId="17" fillId="3" borderId="31" xfId="1" applyNumberFormat="1" applyFont="1" applyFill="1" applyBorder="1" applyAlignment="1">
      <alignment horizontal="right" vertical="center" wrapText="1"/>
    </xf>
    <xf numFmtId="3" fontId="17" fillId="3" borderId="32" xfId="1" applyNumberFormat="1" applyFont="1" applyFill="1" applyBorder="1" applyAlignment="1">
      <alignment horizontal="right" vertical="center"/>
    </xf>
    <xf numFmtId="0" fontId="17" fillId="3" borderId="51" xfId="1" applyFont="1" applyFill="1" applyBorder="1" applyAlignment="1">
      <alignment horizontal="left" vertical="center" wrapText="1"/>
    </xf>
    <xf numFmtId="49" fontId="13" fillId="6" borderId="24" xfId="1" applyNumberFormat="1" applyFont="1" applyFill="1" applyBorder="1" applyAlignment="1">
      <alignment horizontal="center" vertical="center"/>
    </xf>
    <xf numFmtId="49" fontId="26" fillId="6" borderId="4" xfId="1" applyNumberFormat="1" applyFont="1" applyFill="1" applyBorder="1" applyAlignment="1">
      <alignment horizontal="center" vertical="center"/>
    </xf>
    <xf numFmtId="49" fontId="13" fillId="6" borderId="3" xfId="1" applyNumberFormat="1" applyFont="1" applyFill="1" applyBorder="1" applyAlignment="1">
      <alignment horizontal="left" vertical="center" wrapText="1"/>
    </xf>
    <xf numFmtId="3" fontId="13" fillId="6" borderId="38" xfId="1" applyNumberFormat="1" applyFont="1" applyFill="1" applyBorder="1" applyAlignment="1">
      <alignment horizontal="right" vertical="center" wrapText="1"/>
    </xf>
    <xf numFmtId="3" fontId="13" fillId="6" borderId="29" xfId="1" applyNumberFormat="1" applyFont="1" applyFill="1" applyBorder="1" applyAlignment="1">
      <alignment horizontal="right" vertical="center" wrapText="1"/>
    </xf>
    <xf numFmtId="3" fontId="13" fillId="6" borderId="55" xfId="1" applyNumberFormat="1" applyFont="1" applyFill="1" applyBorder="1" applyAlignment="1">
      <alignment horizontal="right" vertical="center" wrapText="1"/>
    </xf>
    <xf numFmtId="0" fontId="17" fillId="6" borderId="7" xfId="1" applyFont="1" applyFill="1" applyBorder="1" applyAlignment="1">
      <alignment horizontal="left" vertical="center" wrapText="1"/>
    </xf>
    <xf numFmtId="49" fontId="31" fillId="7" borderId="16" xfId="1" applyNumberFormat="1" applyFont="1" applyFill="1" applyBorder="1" applyAlignment="1">
      <alignment horizontal="center" vertical="center"/>
    </xf>
    <xf numFmtId="49" fontId="31" fillId="7" borderId="34" xfId="1" applyNumberFormat="1" applyFont="1" applyFill="1" applyBorder="1" applyAlignment="1">
      <alignment horizontal="left" vertical="center" wrapText="1"/>
    </xf>
    <xf numFmtId="3" fontId="34" fillId="7" borderId="66" xfId="1" applyNumberFormat="1" applyFont="1" applyFill="1" applyBorder="1" applyAlignment="1">
      <alignment horizontal="right" vertical="center"/>
    </xf>
    <xf numFmtId="0" fontId="31" fillId="7" borderId="16" xfId="1" applyFont="1" applyFill="1" applyBorder="1" applyAlignment="1">
      <alignment horizontal="left" vertical="center" wrapText="1"/>
    </xf>
    <xf numFmtId="49" fontId="13" fillId="6" borderId="8" xfId="1" applyNumberFormat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/>
    </xf>
    <xf numFmtId="0" fontId="13" fillId="6" borderId="9" xfId="1" applyFont="1" applyFill="1" applyBorder="1" applyAlignment="1">
      <alignment vertical="center" wrapText="1"/>
    </xf>
    <xf numFmtId="3" fontId="13" fillId="6" borderId="14" xfId="1" applyNumberFormat="1" applyFont="1" applyFill="1" applyBorder="1" applyAlignment="1">
      <alignment horizontal="right" vertical="center" wrapText="1"/>
    </xf>
    <xf numFmtId="0" fontId="31" fillId="7" borderId="9" xfId="1" applyFont="1" applyFill="1" applyBorder="1" applyAlignment="1">
      <alignment vertical="center" wrapText="1"/>
    </xf>
    <xf numFmtId="0" fontId="49" fillId="7" borderId="7" xfId="1" applyFont="1" applyFill="1" applyBorder="1"/>
    <xf numFmtId="3" fontId="31" fillId="7" borderId="60" xfId="1" applyNumberFormat="1" applyFont="1" applyFill="1" applyBorder="1" applyAlignment="1">
      <alignment vertical="center" wrapText="1"/>
    </xf>
    <xf numFmtId="3" fontId="31" fillId="7" borderId="60" xfId="1" applyNumberFormat="1" applyFont="1" applyFill="1" applyBorder="1" applyAlignment="1">
      <alignment horizontal="right" vertical="center" wrapText="1"/>
    </xf>
    <xf numFmtId="3" fontId="17" fillId="3" borderId="49" xfId="1" applyNumberFormat="1" applyFont="1" applyFill="1" applyBorder="1" applyAlignment="1">
      <alignment horizontal="right" vertical="center" wrapText="1"/>
    </xf>
    <xf numFmtId="3" fontId="17" fillId="3" borderId="48" xfId="1" applyNumberFormat="1" applyFont="1" applyFill="1" applyBorder="1" applyAlignment="1">
      <alignment horizontal="right" vertical="center" wrapText="1"/>
    </xf>
    <xf numFmtId="0" fontId="17" fillId="0" borderId="17" xfId="17" applyFont="1" applyBorder="1" applyAlignment="1">
      <alignment horizontal="justify" vertical="center" wrapText="1"/>
    </xf>
    <xf numFmtId="49" fontId="20" fillId="8" borderId="8" xfId="1" applyNumberFormat="1" applyFont="1" applyFill="1" applyBorder="1" applyAlignment="1">
      <alignment horizontal="center" vertical="center"/>
    </xf>
    <xf numFmtId="0" fontId="36" fillId="8" borderId="7" xfId="1" applyFont="1" applyFill="1" applyBorder="1" applyAlignment="1">
      <alignment horizontal="center"/>
    </xf>
    <xf numFmtId="0" fontId="20" fillId="8" borderId="9" xfId="1" applyFont="1" applyFill="1" applyBorder="1" applyAlignment="1">
      <alignment vertical="center" wrapText="1"/>
    </xf>
    <xf numFmtId="3" fontId="20" fillId="8" borderId="14" xfId="1" applyNumberFormat="1" applyFont="1" applyFill="1" applyBorder="1" applyAlignment="1">
      <alignment horizontal="right" vertical="center" wrapText="1"/>
    </xf>
    <xf numFmtId="0" fontId="20" fillId="8" borderId="7" xfId="1" applyFont="1" applyFill="1" applyBorder="1" applyAlignment="1">
      <alignment horizontal="center" vertical="center"/>
    </xf>
    <xf numFmtId="49" fontId="31" fillId="7" borderId="44" xfId="1" applyNumberFormat="1" applyFont="1" applyFill="1" applyBorder="1" applyAlignment="1">
      <alignment horizontal="center" vertical="center"/>
    </xf>
    <xf numFmtId="0" fontId="31" fillId="7" borderId="50" xfId="1" applyFont="1" applyFill="1" applyBorder="1" applyAlignment="1">
      <alignment vertical="center" wrapText="1"/>
    </xf>
    <xf numFmtId="0" fontId="49" fillId="7" borderId="44" xfId="1" applyFont="1" applyFill="1" applyBorder="1"/>
    <xf numFmtId="3" fontId="34" fillId="7" borderId="47" xfId="1" applyNumberFormat="1" applyFont="1" applyFill="1" applyBorder="1" applyAlignment="1">
      <alignment horizontal="right" vertical="center"/>
    </xf>
    <xf numFmtId="3" fontId="31" fillId="7" borderId="49" xfId="1" applyNumberFormat="1" applyFont="1" applyFill="1" applyBorder="1" applyAlignment="1">
      <alignment vertical="center" wrapText="1"/>
    </xf>
    <xf numFmtId="3" fontId="31" fillId="7" borderId="49" xfId="1" applyNumberFormat="1" applyFont="1" applyFill="1" applyBorder="1" applyAlignment="1">
      <alignment horizontal="right" vertical="center" wrapText="1"/>
    </xf>
    <xf numFmtId="3" fontId="31" fillId="7" borderId="48" xfId="1" applyNumberFormat="1" applyFont="1" applyFill="1" applyBorder="1" applyAlignment="1">
      <alignment horizontal="right" vertical="center" wrapText="1"/>
    </xf>
    <xf numFmtId="0" fontId="31" fillId="7" borderId="44" xfId="1" applyFont="1" applyFill="1" applyBorder="1" applyAlignment="1">
      <alignment horizontal="center" vertical="center"/>
    </xf>
    <xf numFmtId="49" fontId="17" fillId="3" borderId="50" xfId="1" applyNumberFormat="1" applyFont="1" applyFill="1" applyBorder="1" applyAlignment="1">
      <alignment horizontal="left" vertical="center" wrapText="1"/>
    </xf>
    <xf numFmtId="0" fontId="17" fillId="0" borderId="44" xfId="17" applyFont="1" applyBorder="1" applyAlignment="1">
      <alignment horizontal="justify" vertical="center" wrapText="1"/>
    </xf>
    <xf numFmtId="49" fontId="31" fillId="7" borderId="17" xfId="1" applyNumberFormat="1" applyFont="1" applyFill="1" applyBorder="1" applyAlignment="1">
      <alignment horizontal="center" vertical="center"/>
    </xf>
    <xf numFmtId="49" fontId="31" fillId="7" borderId="18" xfId="1" applyNumberFormat="1" applyFont="1" applyFill="1" applyBorder="1" applyAlignment="1">
      <alignment horizontal="left" vertical="center" wrapText="1"/>
    </xf>
    <xf numFmtId="3" fontId="31" fillId="7" borderId="30" xfId="1" applyNumberFormat="1" applyFont="1" applyFill="1" applyBorder="1" applyAlignment="1">
      <alignment horizontal="right" vertical="center" wrapText="1"/>
    </xf>
    <xf numFmtId="0" fontId="31" fillId="7" borderId="17" xfId="17" applyFont="1" applyFill="1" applyBorder="1" applyAlignment="1">
      <alignment horizontal="justify" vertical="center"/>
    </xf>
    <xf numFmtId="49" fontId="17" fillId="3" borderId="3" xfId="1" applyNumberFormat="1" applyFont="1" applyFill="1" applyBorder="1" applyAlignment="1">
      <alignment horizontal="left" vertical="center" wrapText="1"/>
    </xf>
    <xf numFmtId="3" fontId="17" fillId="3" borderId="29" xfId="1" applyNumberFormat="1" applyFont="1" applyFill="1" applyBorder="1" applyAlignment="1">
      <alignment horizontal="right" vertical="center" wrapText="1"/>
    </xf>
    <xf numFmtId="3" fontId="17" fillId="3" borderId="55" xfId="1" applyNumberFormat="1" applyFont="1" applyFill="1" applyBorder="1" applyAlignment="1">
      <alignment horizontal="right" vertical="center" wrapText="1"/>
    </xf>
    <xf numFmtId="3" fontId="17" fillId="3" borderId="28" xfId="1" applyNumberFormat="1" applyFont="1" applyFill="1" applyBorder="1" applyAlignment="1">
      <alignment vertical="center" wrapText="1"/>
    </xf>
    <xf numFmtId="3" fontId="17" fillId="3" borderId="29" xfId="1" applyNumberFormat="1" applyFont="1" applyFill="1" applyBorder="1" applyAlignment="1">
      <alignment vertical="center" wrapText="1"/>
    </xf>
    <xf numFmtId="3" fontId="17" fillId="3" borderId="36" xfId="1" applyNumberFormat="1" applyFont="1" applyFill="1" applyBorder="1" applyAlignment="1">
      <alignment vertical="center" wrapText="1"/>
    </xf>
    <xf numFmtId="49" fontId="17" fillId="0" borderId="17" xfId="1" applyNumberFormat="1" applyFont="1" applyFill="1" applyBorder="1" applyAlignment="1">
      <alignment horizontal="center" vertical="center"/>
    </xf>
    <xf numFmtId="3" fontId="17" fillId="0" borderId="30" xfId="1" applyNumberFormat="1" applyFont="1" applyFill="1" applyBorder="1" applyAlignment="1">
      <alignment horizontal="right" vertical="center" wrapText="1"/>
    </xf>
    <xf numFmtId="3" fontId="17" fillId="0" borderId="18" xfId="1" applyNumberFormat="1" applyFont="1" applyFill="1" applyBorder="1" applyAlignment="1">
      <alignment horizontal="right" vertical="center" wrapText="1"/>
    </xf>
    <xf numFmtId="0" fontId="17" fillId="0" borderId="17" xfId="1" applyFont="1" applyFill="1" applyBorder="1" applyAlignment="1">
      <alignment vertical="center" wrapText="1"/>
    </xf>
    <xf numFmtId="3" fontId="17" fillId="0" borderId="53" xfId="1" applyNumberFormat="1" applyFont="1" applyFill="1" applyBorder="1" applyAlignment="1">
      <alignment horizontal="right" vertical="center" wrapText="1"/>
    </xf>
    <xf numFmtId="3" fontId="17" fillId="0" borderId="43" xfId="1" applyNumberFormat="1" applyFont="1" applyFill="1" applyBorder="1" applyAlignment="1">
      <alignment horizontal="right" vertical="center" wrapText="1"/>
    </xf>
    <xf numFmtId="3" fontId="17" fillId="0" borderId="0" xfId="1" applyNumberFormat="1" applyFont="1" applyFill="1" applyBorder="1" applyAlignment="1">
      <alignment horizontal="right" vertical="center" wrapText="1"/>
    </xf>
    <xf numFmtId="3" fontId="31" fillId="7" borderId="66" xfId="1" applyNumberFormat="1" applyFont="1" applyFill="1" applyBorder="1" applyAlignment="1">
      <alignment horizontal="right" vertical="center" wrapText="1"/>
    </xf>
    <xf numFmtId="0" fontId="31" fillId="7" borderId="16" xfId="17" applyFont="1" applyFill="1" applyBorder="1" applyAlignment="1">
      <alignment horizontal="justify" vertical="center"/>
    </xf>
    <xf numFmtId="3" fontId="17" fillId="0" borderId="41" xfId="1" applyNumberFormat="1" applyFont="1" applyFill="1" applyBorder="1" applyAlignment="1">
      <alignment horizontal="right" vertical="center" wrapText="1"/>
    </xf>
    <xf numFmtId="3" fontId="17" fillId="0" borderId="38" xfId="1" applyNumberFormat="1" applyFont="1" applyFill="1" applyBorder="1" applyAlignment="1">
      <alignment horizontal="right" vertical="center" wrapText="1"/>
    </xf>
    <xf numFmtId="0" fontId="31" fillId="7" borderId="7" xfId="1" applyFont="1" applyFill="1" applyBorder="1" applyAlignment="1">
      <alignment horizontal="center"/>
    </xf>
    <xf numFmtId="0" fontId="26" fillId="0" borderId="17" xfId="1" applyFont="1" applyFill="1" applyBorder="1" applyAlignment="1">
      <alignment horizontal="center"/>
    </xf>
    <xf numFmtId="0" fontId="13" fillId="0" borderId="18" xfId="1" applyFont="1" applyFill="1" applyBorder="1" applyAlignment="1">
      <alignment vertical="center" wrapText="1"/>
    </xf>
    <xf numFmtId="0" fontId="17" fillId="0" borderId="17" xfId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3" fillId="7" borderId="7" xfId="1" applyFont="1" applyFill="1" applyBorder="1" applyAlignment="1">
      <alignment horizontal="center"/>
    </xf>
    <xf numFmtId="0" fontId="17" fillId="0" borderId="17" xfId="1" applyFont="1" applyFill="1" applyBorder="1" applyAlignment="1">
      <alignment horizontal="left" vertical="center" wrapText="1"/>
    </xf>
    <xf numFmtId="0" fontId="17" fillId="0" borderId="51" xfId="1" applyFont="1" applyFill="1" applyBorder="1" applyAlignment="1">
      <alignment horizontal="center" vertical="center"/>
    </xf>
    <xf numFmtId="3" fontId="17" fillId="0" borderId="61" xfId="1" applyNumberFormat="1" applyFont="1" applyFill="1" applyBorder="1" applyAlignment="1">
      <alignment horizontal="right" vertical="center" wrapText="1"/>
    </xf>
    <xf numFmtId="3" fontId="17" fillId="0" borderId="33" xfId="1" applyNumberFormat="1" applyFont="1" applyFill="1" applyBorder="1" applyAlignment="1">
      <alignment horizontal="right" vertical="center" wrapText="1"/>
    </xf>
    <xf numFmtId="0" fontId="17" fillId="0" borderId="51" xfId="1" applyFont="1" applyFill="1" applyBorder="1" applyAlignment="1">
      <alignment horizontal="left" vertical="center" wrapText="1"/>
    </xf>
    <xf numFmtId="0" fontId="49" fillId="7" borderId="7" xfId="1" applyFont="1" applyFill="1" applyBorder="1" applyAlignment="1">
      <alignment horizontal="center" vertical="center"/>
    </xf>
    <xf numFmtId="0" fontId="31" fillId="7" borderId="5" xfId="1" applyFont="1" applyFill="1" applyBorder="1" applyAlignment="1">
      <alignment horizontal="left" vertical="center" wrapText="1"/>
    </xf>
    <xf numFmtId="0" fontId="6" fillId="0" borderId="45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 wrapText="1"/>
    </xf>
    <xf numFmtId="3" fontId="17" fillId="0" borderId="40" xfId="1" applyNumberFormat="1" applyFont="1" applyFill="1" applyBorder="1" applyAlignment="1">
      <alignment horizontal="right" vertical="center" wrapText="1"/>
    </xf>
    <xf numFmtId="3" fontId="17" fillId="0" borderId="35" xfId="1" applyNumberFormat="1" applyFont="1" applyFill="1" applyBorder="1" applyAlignment="1">
      <alignment horizontal="right" vertical="center" wrapText="1"/>
    </xf>
    <xf numFmtId="3" fontId="17" fillId="0" borderId="11" xfId="1" applyNumberFormat="1" applyFont="1" applyFill="1" applyBorder="1" applyAlignment="1">
      <alignment horizontal="right" vertical="center" wrapText="1"/>
    </xf>
    <xf numFmtId="0" fontId="17" fillId="0" borderId="57" xfId="1" applyFont="1" applyFill="1" applyBorder="1" applyAlignment="1">
      <alignment horizontal="left" vertical="center" wrapText="1"/>
    </xf>
    <xf numFmtId="3" fontId="34" fillId="7" borderId="64" xfId="1" applyNumberFormat="1" applyFont="1" applyFill="1" applyBorder="1" applyAlignment="1">
      <alignment horizontal="right" vertical="center"/>
    </xf>
    <xf numFmtId="3" fontId="34" fillId="7" borderId="65" xfId="1" applyNumberFormat="1" applyFont="1" applyFill="1" applyBorder="1" applyAlignment="1">
      <alignment horizontal="right" vertical="center"/>
    </xf>
    <xf numFmtId="0" fontId="50" fillId="7" borderId="5" xfId="1" applyFont="1" applyFill="1" applyBorder="1" applyAlignment="1">
      <alignment horizontal="left" vertical="center" wrapText="1"/>
    </xf>
    <xf numFmtId="49" fontId="26" fillId="0" borderId="4" xfId="1" applyNumberFormat="1" applyFont="1" applyBorder="1" applyAlignment="1">
      <alignment horizontal="center" vertical="center"/>
    </xf>
    <xf numFmtId="0" fontId="47" fillId="3" borderId="3" xfId="1" applyFont="1" applyFill="1" applyBorder="1" applyAlignment="1">
      <alignment vertical="center" wrapText="1"/>
    </xf>
    <xf numFmtId="3" fontId="17" fillId="3" borderId="36" xfId="1" applyNumberFormat="1" applyFont="1" applyFill="1" applyBorder="1" applyAlignment="1">
      <alignment horizontal="right" vertical="center" wrapText="1"/>
    </xf>
    <xf numFmtId="0" fontId="17" fillId="0" borderId="25" xfId="0" applyFont="1" applyBorder="1" applyAlignment="1">
      <alignment horizontal="justify" vertical="center" wrapText="1"/>
    </xf>
    <xf numFmtId="49" fontId="31" fillId="7" borderId="4" xfId="1" applyNumberFormat="1" applyFont="1" applyFill="1" applyBorder="1" applyAlignment="1">
      <alignment horizontal="center" vertical="center"/>
    </xf>
    <xf numFmtId="0" fontId="34" fillId="7" borderId="3" xfId="1" applyFont="1" applyFill="1" applyBorder="1" applyAlignment="1">
      <alignment vertical="center" wrapText="1"/>
    </xf>
    <xf numFmtId="3" fontId="34" fillId="7" borderId="38" xfId="1" applyNumberFormat="1" applyFont="1" applyFill="1" applyBorder="1" applyAlignment="1">
      <alignment horizontal="right" vertical="center"/>
    </xf>
    <xf numFmtId="3" fontId="31" fillId="7" borderId="55" xfId="1" applyNumberFormat="1" applyFont="1" applyFill="1" applyBorder="1" applyAlignment="1">
      <alignment vertical="center"/>
    </xf>
    <xf numFmtId="3" fontId="31" fillId="7" borderId="28" xfId="1" applyNumberFormat="1" applyFont="1" applyFill="1" applyBorder="1" applyAlignment="1">
      <alignment horizontal="right" vertical="center" wrapText="1"/>
    </xf>
    <xf numFmtId="3" fontId="31" fillId="7" borderId="36" xfId="1" applyNumberFormat="1" applyFont="1" applyFill="1" applyBorder="1" applyAlignment="1">
      <alignment horizontal="right" vertical="center" wrapText="1"/>
    </xf>
    <xf numFmtId="0" fontId="31" fillId="7" borderId="25" xfId="0" applyFont="1" applyFill="1" applyBorder="1" applyAlignment="1">
      <alignment horizontal="left" vertical="center" wrapText="1"/>
    </xf>
    <xf numFmtId="3" fontId="20" fillId="2" borderId="5" xfId="1" applyNumberFormat="1" applyFont="1" applyFill="1" applyBorder="1" applyAlignment="1">
      <alignment horizontal="right" vertical="center"/>
    </xf>
    <xf numFmtId="0" fontId="36" fillId="6" borderId="21" xfId="1" applyFont="1" applyFill="1" applyBorder="1" applyAlignment="1">
      <alignment horizontal="center"/>
    </xf>
    <xf numFmtId="0" fontId="20" fillId="6" borderId="5" xfId="1" applyFont="1" applyFill="1" applyBorder="1" applyAlignment="1">
      <alignment horizontal="center" vertical="center"/>
    </xf>
    <xf numFmtId="0" fontId="27" fillId="0" borderId="21" xfId="1" applyFont="1" applyFill="1" applyBorder="1" applyAlignment="1">
      <alignment vertical="center"/>
    </xf>
    <xf numFmtId="0" fontId="27" fillId="0" borderId="21" xfId="1" applyFont="1" applyFill="1" applyBorder="1" applyAlignment="1">
      <alignment vertical="center" wrapText="1"/>
    </xf>
    <xf numFmtId="0" fontId="27" fillId="0" borderId="1" xfId="1" applyFont="1" applyFill="1" applyBorder="1" applyAlignment="1">
      <alignment vertical="center"/>
    </xf>
    <xf numFmtId="0" fontId="27" fillId="0" borderId="1" xfId="1" applyFont="1" applyFill="1" applyBorder="1" applyAlignment="1">
      <alignment vertical="center" wrapText="1"/>
    </xf>
    <xf numFmtId="3" fontId="17" fillId="0" borderId="69" xfId="1" applyNumberFormat="1" applyFont="1" applyFill="1" applyBorder="1" applyAlignment="1">
      <alignment horizontal="right" vertical="center" wrapText="1"/>
    </xf>
    <xf numFmtId="0" fontId="17" fillId="3" borderId="1" xfId="1" applyFont="1" applyFill="1" applyBorder="1" applyAlignment="1">
      <alignment horizontal="center" vertical="center" wrapText="1"/>
    </xf>
    <xf numFmtId="49" fontId="17" fillId="3" borderId="51" xfId="1" applyNumberFormat="1" applyFont="1" applyFill="1" applyBorder="1" applyAlignment="1">
      <alignment horizontal="center" vertical="center"/>
    </xf>
    <xf numFmtId="49" fontId="17" fillId="3" borderId="1" xfId="1" applyNumberFormat="1" applyFont="1" applyFill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49" fontId="26" fillId="3" borderId="4" xfId="1" applyNumberFormat="1" applyFont="1" applyFill="1" applyBorder="1" applyAlignment="1">
      <alignment vertical="center" wrapText="1"/>
    </xf>
    <xf numFmtId="0" fontId="31" fillId="2" borderId="21" xfId="1" applyFont="1" applyFill="1" applyBorder="1" applyAlignment="1">
      <alignment horizontal="center" vertical="center" wrapText="1"/>
    </xf>
    <xf numFmtId="0" fontId="31" fillId="2" borderId="22" xfId="1" applyFont="1" applyFill="1" applyBorder="1" applyAlignment="1">
      <alignment horizontal="center" vertical="center" wrapText="1"/>
    </xf>
    <xf numFmtId="49" fontId="25" fillId="3" borderId="4" xfId="1" applyNumberFormat="1" applyFont="1" applyFill="1" applyBorder="1" applyAlignment="1">
      <alignment vertical="center" wrapText="1"/>
    </xf>
    <xf numFmtId="3" fontId="17" fillId="3" borderId="38" xfId="1" applyNumberFormat="1" applyFont="1" applyFill="1" applyBorder="1" applyAlignment="1">
      <alignment vertical="center"/>
    </xf>
    <xf numFmtId="3" fontId="17" fillId="3" borderId="3" xfId="1" applyNumberFormat="1" applyFont="1" applyFill="1" applyBorder="1" applyAlignment="1">
      <alignment vertical="center"/>
    </xf>
    <xf numFmtId="49" fontId="27" fillId="3" borderId="7" xfId="1" applyNumberFormat="1" applyFont="1" applyFill="1" applyBorder="1" applyAlignment="1">
      <alignment vertical="center"/>
    </xf>
    <xf numFmtId="49" fontId="25" fillId="3" borderId="7" xfId="1" applyNumberFormat="1" applyFont="1" applyFill="1" applyBorder="1" applyAlignment="1">
      <alignment vertical="center" wrapText="1"/>
    </xf>
    <xf numFmtId="49" fontId="13" fillId="0" borderId="21" xfId="1" applyNumberFormat="1" applyFont="1" applyBorder="1" applyAlignment="1">
      <alignment vertical="center"/>
    </xf>
    <xf numFmtId="49" fontId="13" fillId="0" borderId="4" xfId="1" applyNumberFormat="1" applyFont="1" applyBorder="1" applyAlignment="1">
      <alignment vertical="center"/>
    </xf>
    <xf numFmtId="49" fontId="31" fillId="7" borderId="3" xfId="1" applyNumberFormat="1" applyFont="1" applyFill="1" applyBorder="1" applyAlignment="1">
      <alignment horizontal="left" vertical="center" wrapText="1"/>
    </xf>
    <xf numFmtId="3" fontId="31" fillId="7" borderId="38" xfId="1" applyNumberFormat="1" applyFont="1" applyFill="1" applyBorder="1" applyAlignment="1">
      <alignment horizontal="right" vertical="center" wrapText="1"/>
    </xf>
    <xf numFmtId="0" fontId="31" fillId="7" borderId="4" xfId="1" applyFont="1" applyFill="1" applyBorder="1" applyAlignment="1">
      <alignment vertical="center" wrapText="1"/>
    </xf>
    <xf numFmtId="49" fontId="25" fillId="3" borderId="7" xfId="1" applyNumberFormat="1" applyFont="1" applyFill="1" applyBorder="1" applyAlignment="1">
      <alignment vertical="center"/>
    </xf>
    <xf numFmtId="3" fontId="17" fillId="3" borderId="64" xfId="1" applyNumberFormat="1" applyFont="1" applyFill="1" applyBorder="1" applyAlignment="1">
      <alignment vertical="center" wrapText="1"/>
    </xf>
    <xf numFmtId="3" fontId="17" fillId="3" borderId="60" xfId="1" applyNumberFormat="1" applyFont="1" applyFill="1" applyBorder="1" applyAlignment="1">
      <alignment vertical="center" wrapText="1"/>
    </xf>
    <xf numFmtId="3" fontId="17" fillId="3" borderId="65" xfId="1" applyNumberFormat="1" applyFont="1" applyFill="1" applyBorder="1" applyAlignment="1">
      <alignment vertical="center" wrapText="1"/>
    </xf>
    <xf numFmtId="0" fontId="17" fillId="3" borderId="7" xfId="1" applyFont="1" applyFill="1" applyBorder="1" applyAlignment="1">
      <alignment vertical="center" wrapText="1"/>
    </xf>
    <xf numFmtId="3" fontId="17" fillId="3" borderId="73" xfId="1" applyNumberFormat="1" applyFont="1" applyFill="1" applyBorder="1" applyAlignment="1">
      <alignment horizontal="right" vertical="center" wrapText="1"/>
    </xf>
    <xf numFmtId="49" fontId="26" fillId="3" borderId="21" xfId="1" applyNumberFormat="1" applyFont="1" applyFill="1" applyBorder="1" applyAlignment="1">
      <alignment vertical="center"/>
    </xf>
    <xf numFmtId="49" fontId="26" fillId="3" borderId="21" xfId="1" applyNumberFormat="1" applyFont="1" applyFill="1" applyBorder="1" applyAlignment="1">
      <alignment vertical="center" wrapText="1"/>
    </xf>
    <xf numFmtId="49" fontId="31" fillId="7" borderId="21" xfId="1" applyNumberFormat="1" applyFont="1" applyFill="1" applyBorder="1" applyAlignment="1">
      <alignment horizontal="center" vertical="center"/>
    </xf>
    <xf numFmtId="49" fontId="31" fillId="7" borderId="77" xfId="1" applyNumberFormat="1" applyFont="1" applyFill="1" applyBorder="1" applyAlignment="1">
      <alignment horizontal="left" vertical="center" wrapText="1"/>
    </xf>
    <xf numFmtId="3" fontId="34" fillId="7" borderId="56" xfId="1" applyNumberFormat="1" applyFont="1" applyFill="1" applyBorder="1" applyAlignment="1">
      <alignment horizontal="right" vertical="center"/>
    </xf>
    <xf numFmtId="3" fontId="31" fillId="7" borderId="79" xfId="1" applyNumberFormat="1" applyFont="1" applyFill="1" applyBorder="1" applyAlignment="1">
      <alignment vertical="center"/>
    </xf>
    <xf numFmtId="3" fontId="31" fillId="7" borderId="80" xfId="1" applyNumberFormat="1" applyFont="1" applyFill="1" applyBorder="1" applyAlignment="1">
      <alignment vertical="center"/>
    </xf>
    <xf numFmtId="0" fontId="13" fillId="7" borderId="21" xfId="1" applyFont="1" applyFill="1" applyBorder="1" applyAlignment="1">
      <alignment horizontal="left" vertical="center" wrapText="1"/>
    </xf>
    <xf numFmtId="49" fontId="26" fillId="3" borderId="7" xfId="1" applyNumberFormat="1" applyFont="1" applyFill="1" applyBorder="1" applyAlignment="1">
      <alignment vertical="center"/>
    </xf>
    <xf numFmtId="49" fontId="26" fillId="3" borderId="7" xfId="1" applyNumberFormat="1" applyFont="1" applyFill="1" applyBorder="1" applyAlignment="1">
      <alignment vertical="center" wrapText="1"/>
    </xf>
    <xf numFmtId="3" fontId="18" fillId="3" borderId="14" xfId="1" applyNumberFormat="1" applyFont="1" applyFill="1" applyBorder="1" applyAlignment="1">
      <alignment horizontal="right" vertical="center"/>
    </xf>
    <xf numFmtId="3" fontId="17" fillId="3" borderId="60" xfId="1" applyNumberFormat="1" applyFont="1" applyFill="1" applyBorder="1" applyAlignment="1">
      <alignment vertical="center"/>
    </xf>
    <xf numFmtId="3" fontId="17" fillId="3" borderId="6" xfId="1" applyNumberFormat="1" applyFont="1" applyFill="1" applyBorder="1" applyAlignment="1">
      <alignment vertical="center"/>
    </xf>
    <xf numFmtId="0" fontId="17" fillId="3" borderId="7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vertical="center"/>
    </xf>
    <xf numFmtId="49" fontId="13" fillId="0" borderId="4" xfId="1" applyNumberFormat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 wrapText="1"/>
    </xf>
    <xf numFmtId="0" fontId="17" fillId="0" borderId="4" xfId="1" applyFont="1" applyFill="1" applyBorder="1" applyAlignment="1">
      <alignment horizontal="center" vertical="center"/>
    </xf>
    <xf numFmtId="3" fontId="17" fillId="0" borderId="3" xfId="1" applyNumberFormat="1" applyFont="1" applyFill="1" applyBorder="1" applyAlignment="1">
      <alignment horizontal="right" vertical="center" wrapText="1"/>
    </xf>
    <xf numFmtId="3" fontId="17" fillId="0" borderId="29" xfId="1" applyNumberFormat="1" applyFont="1" applyFill="1" applyBorder="1" applyAlignment="1">
      <alignment horizontal="right" vertical="center" wrapText="1"/>
    </xf>
    <xf numFmtId="3" fontId="13" fillId="9" borderId="6" xfId="1" applyNumberFormat="1" applyFont="1" applyFill="1" applyBorder="1" applyAlignment="1">
      <alignment horizontal="right" vertical="center" wrapText="1"/>
    </xf>
    <xf numFmtId="3" fontId="41" fillId="5" borderId="27" xfId="1" applyNumberFormat="1" applyFont="1" applyFill="1" applyBorder="1" applyAlignment="1">
      <alignment horizontal="right" vertical="center"/>
    </xf>
    <xf numFmtId="3" fontId="41" fillId="5" borderId="48" xfId="1" applyNumberFormat="1" applyFont="1" applyFill="1" applyBorder="1" applyAlignment="1">
      <alignment horizontal="right" vertical="center"/>
    </xf>
    <xf numFmtId="0" fontId="13" fillId="5" borderId="27" xfId="1" applyFont="1" applyFill="1" applyBorder="1" applyAlignment="1">
      <alignment horizontal="right" vertical="center" wrapText="1"/>
    </xf>
    <xf numFmtId="0" fontId="17" fillId="3" borderId="27" xfId="1" applyFont="1" applyFill="1" applyBorder="1" applyAlignment="1">
      <alignment horizontal="right" vertical="center" wrapText="1"/>
    </xf>
    <xf numFmtId="0" fontId="22" fillId="3" borderId="44" xfId="1" applyFont="1" applyFill="1" applyBorder="1" applyAlignment="1">
      <alignment horizontal="left" vertical="center" wrapText="1"/>
    </xf>
    <xf numFmtId="0" fontId="28" fillId="0" borderId="0" xfId="20" applyFont="1" applyAlignment="1">
      <alignment horizontal="center" vertical="center"/>
    </xf>
    <xf numFmtId="0" fontId="28" fillId="0" borderId="0" xfId="20" applyFont="1" applyAlignment="1">
      <alignment vertical="center"/>
    </xf>
    <xf numFmtId="3" fontId="21" fillId="0" borderId="0" xfId="20" applyNumberFormat="1" applyFont="1" applyBorder="1" applyAlignment="1">
      <alignment horizontal="right" vertical="center"/>
    </xf>
    <xf numFmtId="10" fontId="21" fillId="0" borderId="0" xfId="20" applyNumberFormat="1" applyFont="1" applyBorder="1" applyAlignment="1">
      <alignment horizontal="right" vertical="center"/>
    </xf>
    <xf numFmtId="0" fontId="28" fillId="0" borderId="0" xfId="20"/>
    <xf numFmtId="10" fontId="28" fillId="0" borderId="0" xfId="20" applyNumberFormat="1"/>
    <xf numFmtId="0" fontId="54" fillId="0" borderId="0" xfId="20" applyFont="1" applyBorder="1" applyAlignment="1">
      <alignment vertical="center" wrapText="1"/>
    </xf>
    <xf numFmtId="10" fontId="54" fillId="0" borderId="0" xfId="20" applyNumberFormat="1" applyFont="1" applyBorder="1" applyAlignment="1">
      <alignment vertical="center" wrapText="1"/>
    </xf>
    <xf numFmtId="0" fontId="55" fillId="0" borderId="0" xfId="20" applyFont="1" applyBorder="1" applyAlignment="1">
      <alignment horizontal="center" vertical="center"/>
    </xf>
    <xf numFmtId="0" fontId="28" fillId="0" borderId="0" xfId="20" applyFont="1" applyBorder="1" applyAlignment="1">
      <alignment horizontal="center" vertical="center"/>
    </xf>
    <xf numFmtId="0" fontId="28" fillId="0" borderId="0" xfId="20" applyFont="1" applyBorder="1" applyAlignment="1">
      <alignment vertical="center"/>
    </xf>
    <xf numFmtId="0" fontId="13" fillId="10" borderId="7" xfId="20" applyFont="1" applyFill="1" applyBorder="1" applyAlignment="1">
      <alignment horizontal="center" vertical="center" wrapText="1"/>
    </xf>
    <xf numFmtId="0" fontId="13" fillId="10" borderId="5" xfId="20" applyFont="1" applyFill="1" applyBorder="1" applyAlignment="1">
      <alignment horizontal="center" vertical="center" wrapText="1"/>
    </xf>
    <xf numFmtId="0" fontId="14" fillId="10" borderId="7" xfId="20" applyFont="1" applyFill="1" applyBorder="1" applyAlignment="1">
      <alignment horizontal="center" vertical="center" wrapText="1"/>
    </xf>
    <xf numFmtId="0" fontId="13" fillId="10" borderId="8" xfId="20" applyFont="1" applyFill="1" applyBorder="1" applyAlignment="1">
      <alignment horizontal="center" vertical="center" wrapText="1"/>
    </xf>
    <xf numFmtId="3" fontId="14" fillId="10" borderId="7" xfId="20" applyNumberFormat="1" applyFont="1" applyFill="1" applyBorder="1" applyAlignment="1">
      <alignment horizontal="center" vertical="center"/>
    </xf>
    <xf numFmtId="10" fontId="14" fillId="10" borderId="7" xfId="20" applyNumberFormat="1" applyFont="1" applyFill="1" applyBorder="1" applyAlignment="1">
      <alignment horizontal="center" vertical="center"/>
    </xf>
    <xf numFmtId="0" fontId="56" fillId="5" borderId="7" xfId="20" quotePrefix="1" applyFont="1" applyFill="1" applyBorder="1" applyAlignment="1">
      <alignment horizontal="center" vertical="center" wrapText="1"/>
    </xf>
    <xf numFmtId="0" fontId="56" fillId="5" borderId="5" xfId="20" quotePrefix="1" applyFont="1" applyFill="1" applyBorder="1" applyAlignment="1">
      <alignment horizontal="center" vertical="center" wrapText="1"/>
    </xf>
    <xf numFmtId="0" fontId="57" fillId="5" borderId="8" xfId="20" applyFont="1" applyFill="1" applyBorder="1" applyAlignment="1">
      <alignment vertical="center" wrapText="1"/>
    </xf>
    <xf numFmtId="0" fontId="56" fillId="5" borderId="8" xfId="20" applyFont="1" applyFill="1" applyBorder="1" applyAlignment="1">
      <alignment vertical="center" wrapText="1"/>
    </xf>
    <xf numFmtId="3" fontId="58" fillId="5" borderId="21" xfId="20" applyNumberFormat="1" applyFont="1" applyFill="1" applyBorder="1" applyAlignment="1">
      <alignment horizontal="right" vertical="center"/>
    </xf>
    <xf numFmtId="10" fontId="58" fillId="5" borderId="21" xfId="20" applyNumberFormat="1" applyFont="1" applyFill="1" applyBorder="1" applyAlignment="1">
      <alignment horizontal="right" vertical="center"/>
    </xf>
    <xf numFmtId="49" fontId="50" fillId="9" borderId="9" xfId="20" applyNumberFormat="1" applyFont="1" applyFill="1" applyBorder="1" applyAlignment="1">
      <alignment horizontal="center" vertical="center" wrapText="1"/>
    </xf>
    <xf numFmtId="0" fontId="59" fillId="9" borderId="7" xfId="20" applyFont="1" applyFill="1" applyBorder="1" applyAlignment="1">
      <alignment vertical="center" wrapText="1"/>
    </xf>
    <xf numFmtId="0" fontId="50" fillId="9" borderId="8" xfId="20" applyFont="1" applyFill="1" applyBorder="1" applyAlignment="1">
      <alignment vertical="center" wrapText="1"/>
    </xf>
    <xf numFmtId="3" fontId="58" fillId="9" borderId="21" xfId="20" applyNumberFormat="1" applyFont="1" applyFill="1" applyBorder="1" applyAlignment="1">
      <alignment horizontal="right" vertical="center"/>
    </xf>
    <xf numFmtId="10" fontId="58" fillId="9" borderId="21" xfId="20" applyNumberFormat="1" applyFont="1" applyFill="1" applyBorder="1" applyAlignment="1">
      <alignment horizontal="right" vertical="center"/>
    </xf>
    <xf numFmtId="0" fontId="46" fillId="7" borderId="58" xfId="20" applyFont="1" applyFill="1" applyBorder="1" applyAlignment="1">
      <alignment vertical="center" wrapText="1"/>
    </xf>
    <xf numFmtId="3" fontId="60" fillId="7" borderId="21" xfId="20" applyNumberFormat="1" applyFont="1" applyFill="1" applyBorder="1" applyAlignment="1">
      <alignment horizontal="right" vertical="center"/>
    </xf>
    <xf numFmtId="10" fontId="60" fillId="7" borderId="21" xfId="20" applyNumberFormat="1" applyFont="1" applyFill="1" applyBorder="1" applyAlignment="1">
      <alignment horizontal="right" vertical="center"/>
    </xf>
    <xf numFmtId="49" fontId="8" fillId="0" borderId="12" xfId="20" applyNumberFormat="1" applyFont="1" applyFill="1" applyBorder="1" applyAlignment="1">
      <alignment horizontal="center" vertical="center" wrapText="1"/>
    </xf>
    <xf numFmtId="3" fontId="52" fillId="3" borderId="44" xfId="20" applyNumberFormat="1" applyFont="1" applyFill="1" applyBorder="1" applyAlignment="1">
      <alignment horizontal="right" vertical="center"/>
    </xf>
    <xf numFmtId="10" fontId="52" fillId="0" borderId="44" xfId="20" applyNumberFormat="1" applyFont="1" applyFill="1" applyBorder="1" applyAlignment="1">
      <alignment horizontal="right" vertical="center"/>
    </xf>
    <xf numFmtId="3" fontId="52" fillId="0" borderId="44" xfId="20" applyNumberFormat="1" applyFont="1" applyFill="1" applyBorder="1" applyAlignment="1">
      <alignment horizontal="right" vertical="center"/>
    </xf>
    <xf numFmtId="49" fontId="8" fillId="0" borderId="44" xfId="20" applyNumberFormat="1" applyFont="1" applyFill="1" applyBorder="1" applyAlignment="1">
      <alignment horizontal="center" vertical="center" wrapText="1"/>
    </xf>
    <xf numFmtId="49" fontId="8" fillId="0" borderId="10" xfId="20" applyNumberFormat="1" applyFont="1" applyFill="1" applyBorder="1" applyAlignment="1">
      <alignment horizontal="center" vertical="center" wrapText="1"/>
    </xf>
    <xf numFmtId="0" fontId="46" fillId="7" borderId="39" xfId="20" applyFont="1" applyFill="1" applyBorder="1" applyAlignment="1">
      <alignment vertical="center" wrapText="1"/>
    </xf>
    <xf numFmtId="3" fontId="60" fillId="7" borderId="45" xfId="20" applyNumberFormat="1" applyFont="1" applyFill="1" applyBorder="1" applyAlignment="1">
      <alignment horizontal="right" vertical="center"/>
    </xf>
    <xf numFmtId="10" fontId="60" fillId="7" borderId="45" xfId="20" applyNumberFormat="1" applyFont="1" applyFill="1" applyBorder="1" applyAlignment="1">
      <alignment horizontal="right" vertical="center"/>
    </xf>
    <xf numFmtId="49" fontId="8" fillId="0" borderId="46" xfId="20" applyNumberFormat="1" applyFont="1" applyFill="1" applyBorder="1" applyAlignment="1">
      <alignment horizontal="center" vertical="center" wrapText="1"/>
    </xf>
    <xf numFmtId="3" fontId="52" fillId="0" borderId="17" xfId="20" applyNumberFormat="1" applyFont="1" applyFill="1" applyBorder="1" applyAlignment="1">
      <alignment horizontal="right" vertical="center"/>
    </xf>
    <xf numFmtId="10" fontId="52" fillId="0" borderId="17" xfId="20" applyNumberFormat="1" applyFont="1" applyFill="1" applyBorder="1" applyAlignment="1">
      <alignment horizontal="right" vertical="center"/>
    </xf>
    <xf numFmtId="0" fontId="46" fillId="7" borderId="1" xfId="20" applyFont="1" applyFill="1" applyBorder="1" applyAlignment="1">
      <alignment vertical="center" wrapText="1"/>
    </xf>
    <xf numFmtId="3" fontId="60" fillId="7" borderId="1" xfId="20" applyNumberFormat="1" applyFont="1" applyFill="1" applyBorder="1" applyAlignment="1">
      <alignment horizontal="right" vertical="center"/>
    </xf>
    <xf numFmtId="10" fontId="60" fillId="7" borderId="1" xfId="20" applyNumberFormat="1" applyFont="1" applyFill="1" applyBorder="1" applyAlignment="1">
      <alignment horizontal="right" vertical="center"/>
    </xf>
    <xf numFmtId="0" fontId="56" fillId="0" borderId="45" xfId="20" quotePrefix="1" applyFont="1" applyFill="1" applyBorder="1" applyAlignment="1">
      <alignment horizontal="center" vertical="center" wrapText="1"/>
    </xf>
    <xf numFmtId="0" fontId="8" fillId="0" borderId="2" xfId="20" applyFont="1" applyFill="1" applyBorder="1" applyAlignment="1">
      <alignment horizontal="left" vertical="center" wrapText="1"/>
    </xf>
    <xf numFmtId="49" fontId="8" fillId="0" borderId="39" xfId="20" applyNumberFormat="1" applyFont="1" applyFill="1" applyBorder="1" applyAlignment="1">
      <alignment horizontal="center" vertical="center" wrapText="1"/>
    </xf>
    <xf numFmtId="3" fontId="52" fillId="0" borderId="45" xfId="20" applyNumberFormat="1" applyFont="1" applyFill="1" applyBorder="1" applyAlignment="1">
      <alignment horizontal="right" vertical="center"/>
    </xf>
    <xf numFmtId="10" fontId="52" fillId="0" borderId="45" xfId="20" applyNumberFormat="1" applyFont="1" applyFill="1" applyBorder="1" applyAlignment="1">
      <alignment horizontal="right" vertical="center"/>
    </xf>
    <xf numFmtId="0" fontId="61" fillId="9" borderId="9" xfId="20" quotePrefix="1" applyFont="1" applyFill="1" applyBorder="1" applyAlignment="1">
      <alignment horizontal="center" vertical="center" wrapText="1"/>
    </xf>
    <xf numFmtId="0" fontId="62" fillId="9" borderId="8" xfId="20" applyFont="1" applyFill="1" applyBorder="1" applyAlignment="1">
      <alignment vertical="center" wrapText="1"/>
    </xf>
    <xf numFmtId="0" fontId="61" fillId="9" borderId="8" xfId="20" applyFont="1" applyFill="1" applyBorder="1" applyAlignment="1">
      <alignment vertical="center" wrapText="1"/>
    </xf>
    <xf numFmtId="0" fontId="46" fillId="7" borderId="58" xfId="20" quotePrefix="1" applyFont="1" applyFill="1" applyBorder="1" applyAlignment="1">
      <alignment horizontal="left" vertical="center" wrapText="1"/>
    </xf>
    <xf numFmtId="3" fontId="60" fillId="7" borderId="16" xfId="20" applyNumberFormat="1" applyFont="1" applyFill="1" applyBorder="1" applyAlignment="1">
      <alignment horizontal="right" vertical="center"/>
    </xf>
    <xf numFmtId="10" fontId="60" fillId="7" borderId="16" xfId="20" applyNumberFormat="1" applyFont="1" applyFill="1" applyBorder="1" applyAlignment="1">
      <alignment horizontal="right" vertical="center"/>
    </xf>
    <xf numFmtId="0" fontId="8" fillId="3" borderId="74" xfId="20" quotePrefix="1" applyFont="1" applyFill="1" applyBorder="1" applyAlignment="1">
      <alignment horizontal="left" vertical="center" wrapText="1"/>
    </xf>
    <xf numFmtId="3" fontId="52" fillId="3" borderId="17" xfId="20" applyNumberFormat="1" applyFont="1" applyFill="1" applyBorder="1" applyAlignment="1">
      <alignment horizontal="right" vertical="center"/>
    </xf>
    <xf numFmtId="10" fontId="52" fillId="3" borderId="17" xfId="20" applyNumberFormat="1" applyFont="1" applyFill="1" applyBorder="1" applyAlignment="1">
      <alignment horizontal="right" vertical="center"/>
    </xf>
    <xf numFmtId="0" fontId="63" fillId="0" borderId="76" xfId="20" applyFont="1" applyBorder="1" applyAlignment="1">
      <alignment vertical="center" wrapText="1"/>
    </xf>
    <xf numFmtId="0" fontId="55" fillId="0" borderId="46" xfId="20" applyFont="1" applyBorder="1" applyAlignment="1">
      <alignment horizontal="center" vertical="center" wrapText="1"/>
    </xf>
    <xf numFmtId="10" fontId="52" fillId="3" borderId="44" xfId="20" applyNumberFormat="1" applyFont="1" applyFill="1" applyBorder="1" applyAlignment="1">
      <alignment horizontal="right" vertical="center"/>
    </xf>
    <xf numFmtId="0" fontId="63" fillId="0" borderId="75" xfId="20" applyFont="1" applyBorder="1" applyAlignment="1">
      <alignment vertical="center" wrapText="1"/>
    </xf>
    <xf numFmtId="0" fontId="55" fillId="0" borderId="52" xfId="20" applyFont="1" applyBorder="1" applyAlignment="1">
      <alignment horizontal="center" vertical="center" wrapText="1"/>
    </xf>
    <xf numFmtId="0" fontId="46" fillId="7" borderId="46" xfId="20" quotePrefix="1" applyFont="1" applyFill="1" applyBorder="1" applyAlignment="1">
      <alignment horizontal="left" vertical="center" wrapText="1"/>
    </xf>
    <xf numFmtId="3" fontId="60" fillId="7" borderId="44" xfId="20" applyNumberFormat="1" applyFont="1" applyFill="1" applyBorder="1" applyAlignment="1">
      <alignment horizontal="right" vertical="center"/>
    </xf>
    <xf numFmtId="10" fontId="60" fillId="7" borderId="44" xfId="20" applyNumberFormat="1" applyFont="1" applyFill="1" applyBorder="1" applyAlignment="1">
      <alignment horizontal="right" vertical="center"/>
    </xf>
    <xf numFmtId="0" fontId="63" fillId="3" borderId="76" xfId="20" applyFont="1" applyFill="1" applyBorder="1" applyAlignment="1">
      <alignment vertical="center" wrapText="1"/>
    </xf>
    <xf numFmtId="0" fontId="63" fillId="3" borderId="37" xfId="20" applyFont="1" applyFill="1" applyBorder="1" applyAlignment="1">
      <alignment vertical="center" wrapText="1"/>
    </xf>
    <xf numFmtId="3" fontId="52" fillId="0" borderId="1" xfId="20" applyNumberFormat="1" applyFont="1" applyFill="1" applyBorder="1" applyAlignment="1">
      <alignment horizontal="right" vertical="center"/>
    </xf>
    <xf numFmtId="10" fontId="52" fillId="0" borderId="1" xfId="20" applyNumberFormat="1" applyFont="1" applyFill="1" applyBorder="1" applyAlignment="1">
      <alignment horizontal="right" vertical="center"/>
    </xf>
    <xf numFmtId="0" fontId="46" fillId="3" borderId="28" xfId="20" applyFont="1" applyFill="1" applyBorder="1" applyAlignment="1">
      <alignment horizontal="center" vertical="center" wrapText="1"/>
    </xf>
    <xf numFmtId="0" fontId="63" fillId="3" borderId="57" xfId="20" applyFont="1" applyFill="1" applyBorder="1" applyAlignment="1">
      <alignment vertical="center" wrapText="1"/>
    </xf>
    <xf numFmtId="0" fontId="55" fillId="0" borderId="39" xfId="20" applyFont="1" applyBorder="1" applyAlignment="1">
      <alignment horizontal="center" vertical="center" wrapText="1"/>
    </xf>
    <xf numFmtId="0" fontId="62" fillId="9" borderId="7" xfId="20" applyFont="1" applyFill="1" applyBorder="1" applyAlignment="1">
      <alignment vertical="center" wrapText="1"/>
    </xf>
    <xf numFmtId="0" fontId="46" fillId="7" borderId="10" xfId="20" quotePrefix="1" applyFont="1" applyFill="1" applyBorder="1" applyAlignment="1">
      <alignment horizontal="left" vertical="center" wrapText="1"/>
    </xf>
    <xf numFmtId="0" fontId="8" fillId="3" borderId="44" xfId="20" quotePrefix="1" applyFont="1" applyFill="1" applyBorder="1" applyAlignment="1">
      <alignment horizontal="left" vertical="center" wrapText="1"/>
    </xf>
    <xf numFmtId="0" fontId="29" fillId="3" borderId="74" xfId="20" quotePrefix="1" applyFont="1" applyFill="1" applyBorder="1" applyAlignment="1">
      <alignment horizontal="left" vertical="center" wrapText="1"/>
    </xf>
    <xf numFmtId="0" fontId="29" fillId="3" borderId="50" xfId="20" quotePrefix="1" applyFont="1" applyFill="1" applyBorder="1" applyAlignment="1">
      <alignment horizontal="center" vertical="center" wrapText="1"/>
    </xf>
    <xf numFmtId="0" fontId="29" fillId="3" borderId="76" xfId="20" quotePrefix="1" applyFont="1" applyFill="1" applyBorder="1" applyAlignment="1">
      <alignment horizontal="left" vertical="center" wrapText="1"/>
    </xf>
    <xf numFmtId="0" fontId="29" fillId="3" borderId="18" xfId="20" quotePrefix="1" applyFont="1" applyFill="1" applyBorder="1" applyAlignment="1">
      <alignment horizontal="center" vertical="center" wrapText="1"/>
    </xf>
    <xf numFmtId="49" fontId="50" fillId="9" borderId="3" xfId="20" applyNumberFormat="1" applyFont="1" applyFill="1" applyBorder="1" applyAlignment="1">
      <alignment horizontal="center" vertical="center" wrapText="1"/>
    </xf>
    <xf numFmtId="0" fontId="62" fillId="9" borderId="24" xfId="20" applyFont="1" applyFill="1" applyBorder="1" applyAlignment="1">
      <alignment vertical="center" wrapText="1"/>
    </xf>
    <xf numFmtId="0" fontId="61" fillId="9" borderId="24" xfId="20" applyFont="1" applyFill="1" applyBorder="1" applyAlignment="1">
      <alignment vertical="center" wrapText="1"/>
    </xf>
    <xf numFmtId="3" fontId="58" fillId="9" borderId="1" xfId="20" applyNumberFormat="1" applyFont="1" applyFill="1" applyBorder="1" applyAlignment="1">
      <alignment horizontal="right" vertical="center"/>
    </xf>
    <xf numFmtId="10" fontId="58" fillId="9" borderId="1" xfId="20" applyNumberFormat="1" applyFont="1" applyFill="1" applyBorder="1" applyAlignment="1">
      <alignment horizontal="right" vertical="center"/>
    </xf>
    <xf numFmtId="49" fontId="46" fillId="7" borderId="12" xfId="20" applyNumberFormat="1" applyFont="1" applyFill="1" applyBorder="1" applyAlignment="1">
      <alignment horizontal="left" vertical="center" wrapText="1"/>
    </xf>
    <xf numFmtId="0" fontId="63" fillId="0" borderId="50" xfId="20" applyFont="1" applyBorder="1" applyAlignment="1">
      <alignment vertical="center" wrapText="1"/>
    </xf>
    <xf numFmtId="49" fontId="55" fillId="0" borderId="12" xfId="20" applyNumberFormat="1" applyFont="1" applyBorder="1" applyAlignment="1">
      <alignment horizontal="center" vertical="center" wrapText="1"/>
    </xf>
    <xf numFmtId="0" fontId="63" fillId="0" borderId="44" xfId="20" applyFont="1" applyBorder="1" applyAlignment="1">
      <alignment vertical="center" wrapText="1"/>
    </xf>
    <xf numFmtId="49" fontId="55" fillId="0" borderId="44" xfId="20" applyNumberFormat="1" applyFont="1" applyBorder="1" applyAlignment="1">
      <alignment horizontal="center" vertical="center" wrapText="1"/>
    </xf>
    <xf numFmtId="0" fontId="63" fillId="0" borderId="70" xfId="20" applyFont="1" applyBorder="1" applyAlignment="1">
      <alignment vertical="center" wrapText="1"/>
    </xf>
    <xf numFmtId="3" fontId="52" fillId="0" borderId="51" xfId="20" applyNumberFormat="1" applyFont="1" applyFill="1" applyBorder="1" applyAlignment="1">
      <alignment horizontal="right" vertical="center"/>
    </xf>
    <xf numFmtId="49" fontId="55" fillId="0" borderId="10" xfId="20" applyNumberFormat="1" applyFont="1" applyBorder="1" applyAlignment="1">
      <alignment horizontal="center" vertical="center" wrapText="1"/>
    </xf>
    <xf numFmtId="49" fontId="46" fillId="7" borderId="39" xfId="20" applyNumberFormat="1" applyFont="1" applyFill="1" applyBorder="1" applyAlignment="1">
      <alignment horizontal="left" vertical="center" wrapText="1"/>
    </xf>
    <xf numFmtId="0" fontId="56" fillId="0" borderId="1" xfId="20" quotePrefix="1" applyFont="1" applyFill="1" applyBorder="1" applyAlignment="1">
      <alignment horizontal="center" vertical="center" wrapText="1"/>
    </xf>
    <xf numFmtId="49" fontId="50" fillId="0" borderId="51" xfId="20" applyNumberFormat="1" applyFont="1" applyBorder="1" applyAlignment="1">
      <alignment horizontal="center" vertical="center" wrapText="1"/>
    </xf>
    <xf numFmtId="49" fontId="50" fillId="9" borderId="7" xfId="20" applyNumberFormat="1" applyFont="1" applyFill="1" applyBorder="1" applyAlignment="1">
      <alignment horizontal="center" vertical="center" wrapText="1"/>
    </xf>
    <xf numFmtId="3" fontId="58" fillId="9" borderId="7" xfId="20" applyNumberFormat="1" applyFont="1" applyFill="1" applyBorder="1" applyAlignment="1">
      <alignment horizontal="right" vertical="center"/>
    </xf>
    <xf numFmtId="10" fontId="58" fillId="9" borderId="7" xfId="20" applyNumberFormat="1" applyFont="1" applyFill="1" applyBorder="1" applyAlignment="1">
      <alignment horizontal="right" vertical="center"/>
    </xf>
    <xf numFmtId="0" fontId="8" fillId="3" borderId="46" xfId="20" quotePrefix="1" applyFont="1" applyFill="1" applyBorder="1" applyAlignment="1">
      <alignment horizontal="left" vertical="center" wrapText="1"/>
    </xf>
    <xf numFmtId="10" fontId="60" fillId="3" borderId="44" xfId="20" applyNumberFormat="1" applyFont="1" applyFill="1" applyBorder="1" applyAlignment="1">
      <alignment horizontal="right" vertical="center"/>
    </xf>
    <xf numFmtId="0" fontId="63" fillId="0" borderId="37" xfId="20" applyFont="1" applyBorder="1" applyAlignment="1">
      <alignment vertical="center" wrapText="1"/>
    </xf>
    <xf numFmtId="0" fontId="55" fillId="0" borderId="1" xfId="20" applyFont="1" applyBorder="1" applyAlignment="1">
      <alignment horizontal="center" vertical="center" wrapText="1"/>
    </xf>
    <xf numFmtId="0" fontId="55" fillId="0" borderId="44" xfId="20" applyFont="1" applyBorder="1" applyAlignment="1">
      <alignment horizontal="center" vertical="center" wrapText="1"/>
    </xf>
    <xf numFmtId="10" fontId="52" fillId="0" borderId="51" xfId="20" applyNumberFormat="1" applyFont="1" applyFill="1" applyBorder="1" applyAlignment="1">
      <alignment horizontal="right" vertical="center"/>
    </xf>
    <xf numFmtId="0" fontId="56" fillId="0" borderId="4" xfId="20" quotePrefix="1" applyFont="1" applyFill="1" applyBorder="1" applyAlignment="1">
      <alignment horizontal="center" vertical="center" wrapText="1"/>
    </xf>
    <xf numFmtId="0" fontId="46" fillId="7" borderId="39" xfId="20" quotePrefix="1" applyFont="1" applyFill="1" applyBorder="1" applyAlignment="1">
      <alignment horizontal="left" vertical="center" wrapText="1"/>
    </xf>
    <xf numFmtId="49" fontId="56" fillId="5" borderId="7" xfId="20" applyNumberFormat="1" applyFont="1" applyFill="1" applyBorder="1" applyAlignment="1">
      <alignment horizontal="center" vertical="center" wrapText="1"/>
    </xf>
    <xf numFmtId="49" fontId="56" fillId="5" borderId="25" xfId="20" applyNumberFormat="1" applyFont="1" applyFill="1" applyBorder="1" applyAlignment="1">
      <alignment horizontal="center" vertical="center" wrapText="1"/>
    </xf>
    <xf numFmtId="49" fontId="57" fillId="5" borderId="3" xfId="20" applyNumberFormat="1" applyFont="1" applyFill="1" applyBorder="1" applyAlignment="1">
      <alignment horizontal="left" vertical="center" wrapText="1"/>
    </xf>
    <xf numFmtId="49" fontId="56" fillId="5" borderId="24" xfId="20" applyNumberFormat="1" applyFont="1" applyFill="1" applyBorder="1" applyAlignment="1">
      <alignment horizontal="left" vertical="center" wrapText="1"/>
    </xf>
    <xf numFmtId="3" fontId="58" fillId="5" borderId="1" xfId="20" applyNumberFormat="1" applyFont="1" applyFill="1" applyBorder="1" applyAlignment="1">
      <alignment horizontal="right" vertical="center"/>
    </xf>
    <xf numFmtId="10" fontId="58" fillId="5" borderId="1" xfId="20" applyNumberFormat="1" applyFont="1" applyFill="1" applyBorder="1" applyAlignment="1">
      <alignment horizontal="right" vertical="center"/>
    </xf>
    <xf numFmtId="0" fontId="28" fillId="0" borderId="0" xfId="20" applyFont="1"/>
    <xf numFmtId="49" fontId="50" fillId="9" borderId="5" xfId="20" applyNumberFormat="1" applyFont="1" applyFill="1" applyBorder="1" applyAlignment="1">
      <alignment horizontal="center" vertical="center" wrapText="1"/>
    </xf>
    <xf numFmtId="49" fontId="57" fillId="5" borderId="24" xfId="20" applyNumberFormat="1" applyFont="1" applyFill="1" applyBorder="1" applyAlignment="1">
      <alignment horizontal="left" vertical="center" wrapText="1"/>
    </xf>
    <xf numFmtId="3" fontId="58" fillId="5" borderId="4" xfId="20" applyNumberFormat="1" applyFont="1" applyFill="1" applyBorder="1" applyAlignment="1">
      <alignment horizontal="right" vertical="center"/>
    </xf>
    <xf numFmtId="10" fontId="58" fillId="5" borderId="4" xfId="20" applyNumberFormat="1" applyFont="1" applyFill="1" applyBorder="1" applyAlignment="1">
      <alignment horizontal="right" vertical="center"/>
    </xf>
    <xf numFmtId="49" fontId="50" fillId="9" borderId="23" xfId="20" applyNumberFormat="1" applyFont="1" applyFill="1" applyBorder="1" applyAlignment="1">
      <alignment horizontal="center" vertical="center" wrapText="1"/>
    </xf>
    <xf numFmtId="0" fontId="59" fillId="9" borderId="21" xfId="20" applyFont="1" applyFill="1" applyBorder="1" applyAlignment="1">
      <alignment vertical="center" wrapText="1"/>
    </xf>
    <xf numFmtId="0" fontId="50" fillId="9" borderId="22" xfId="20" applyFont="1" applyFill="1" applyBorder="1" applyAlignment="1">
      <alignment vertical="center" wrapText="1"/>
    </xf>
    <xf numFmtId="0" fontId="46" fillId="0" borderId="52" xfId="20" applyFont="1" applyFill="1" applyBorder="1" applyAlignment="1">
      <alignment horizontal="center" vertical="center" wrapText="1"/>
    </xf>
    <xf numFmtId="0" fontId="63" fillId="0" borderId="51" xfId="20" applyFont="1" applyBorder="1" applyAlignment="1">
      <alignment vertical="center" wrapText="1"/>
    </xf>
    <xf numFmtId="3" fontId="60" fillId="7" borderId="4" xfId="20" applyNumberFormat="1" applyFont="1" applyFill="1" applyBorder="1" applyAlignment="1">
      <alignment horizontal="right" vertical="center"/>
    </xf>
    <xf numFmtId="10" fontId="60" fillId="7" borderId="4" xfId="20" applyNumberFormat="1" applyFont="1" applyFill="1" applyBorder="1" applyAlignment="1">
      <alignment horizontal="right" vertical="center"/>
    </xf>
    <xf numFmtId="49" fontId="56" fillId="5" borderId="5" xfId="20" applyNumberFormat="1" applyFont="1" applyFill="1" applyBorder="1" applyAlignment="1">
      <alignment horizontal="center" vertical="center" wrapText="1"/>
    </xf>
    <xf numFmtId="49" fontId="57" fillId="5" borderId="8" xfId="20" applyNumberFormat="1" applyFont="1" applyFill="1" applyBorder="1" applyAlignment="1">
      <alignment horizontal="left" vertical="center" wrapText="1"/>
    </xf>
    <xf numFmtId="49" fontId="56" fillId="5" borderId="8" xfId="20" applyNumberFormat="1" applyFont="1" applyFill="1" applyBorder="1" applyAlignment="1">
      <alignment horizontal="left" vertical="center" wrapText="1"/>
    </xf>
    <xf numFmtId="3" fontId="58" fillId="5" borderId="7" xfId="20" applyNumberFormat="1" applyFont="1" applyFill="1" applyBorder="1" applyAlignment="1">
      <alignment horizontal="right" vertical="center"/>
    </xf>
    <xf numFmtId="10" fontId="58" fillId="5" borderId="7" xfId="20" applyNumberFormat="1" applyFont="1" applyFill="1" applyBorder="1" applyAlignment="1">
      <alignment horizontal="right" vertical="center"/>
    </xf>
    <xf numFmtId="49" fontId="50" fillId="9" borderId="16" xfId="20" applyNumberFormat="1" applyFont="1" applyFill="1" applyBorder="1" applyAlignment="1">
      <alignment horizontal="center" vertical="center" wrapText="1"/>
    </xf>
    <xf numFmtId="0" fontId="59" fillId="9" borderId="16" xfId="20" applyFont="1" applyFill="1" applyBorder="1" applyAlignment="1">
      <alignment vertical="center" wrapText="1"/>
    </xf>
    <xf numFmtId="0" fontId="50" fillId="9" borderId="58" xfId="20" applyFont="1" applyFill="1" applyBorder="1" applyAlignment="1">
      <alignment vertical="center" wrapText="1"/>
    </xf>
    <xf numFmtId="3" fontId="58" fillId="9" borderId="16" xfId="20" applyNumberFormat="1" applyFont="1" applyFill="1" applyBorder="1" applyAlignment="1">
      <alignment horizontal="right" vertical="center"/>
    </xf>
    <xf numFmtId="10" fontId="58" fillId="9" borderId="16" xfId="20" applyNumberFormat="1" applyFont="1" applyFill="1" applyBorder="1" applyAlignment="1">
      <alignment horizontal="right" vertical="center"/>
    </xf>
    <xf numFmtId="0" fontId="46" fillId="3" borderId="51" xfId="20" applyFont="1" applyFill="1" applyBorder="1" applyAlignment="1">
      <alignment vertical="center" wrapText="1"/>
    </xf>
    <xf numFmtId="0" fontId="29" fillId="3" borderId="70" xfId="20" quotePrefix="1" applyFont="1" applyFill="1" applyBorder="1" applyAlignment="1">
      <alignment horizontal="left" vertical="center" wrapText="1"/>
    </xf>
    <xf numFmtId="3" fontId="52" fillId="3" borderId="51" xfId="20" applyNumberFormat="1" applyFont="1" applyFill="1" applyBorder="1" applyAlignment="1">
      <alignment horizontal="right" vertical="center"/>
    </xf>
    <xf numFmtId="10" fontId="52" fillId="3" borderId="51" xfId="20" applyNumberFormat="1" applyFont="1" applyFill="1" applyBorder="1" applyAlignment="1">
      <alignment horizontal="right" vertical="center"/>
    </xf>
    <xf numFmtId="0" fontId="46" fillId="3" borderId="1" xfId="20" applyFont="1" applyFill="1" applyBorder="1" applyAlignment="1">
      <alignment vertical="center" wrapText="1"/>
    </xf>
    <xf numFmtId="0" fontId="8" fillId="3" borderId="52" xfId="20" quotePrefix="1" applyFont="1" applyFill="1" applyBorder="1" applyAlignment="1">
      <alignment horizontal="left" vertical="center" wrapText="1"/>
    </xf>
    <xf numFmtId="0" fontId="8" fillId="3" borderId="46" xfId="20" quotePrefix="1" applyFont="1" applyFill="1" applyBorder="1" applyAlignment="1">
      <alignment horizontal="center" vertical="center" wrapText="1"/>
    </xf>
    <xf numFmtId="0" fontId="46" fillId="7" borderId="44" xfId="20" quotePrefix="1" applyFont="1" applyFill="1" applyBorder="1" applyAlignment="1">
      <alignment horizontal="left" vertical="center" wrapText="1"/>
    </xf>
    <xf numFmtId="0" fontId="46" fillId="3" borderId="4" xfId="20" applyFont="1" applyFill="1" applyBorder="1" applyAlignment="1">
      <alignment vertical="center" wrapText="1"/>
    </xf>
    <xf numFmtId="0" fontId="29" fillId="3" borderId="39" xfId="20" quotePrefix="1" applyFont="1" applyFill="1" applyBorder="1" applyAlignment="1">
      <alignment horizontal="left" vertical="center" wrapText="1"/>
    </xf>
    <xf numFmtId="0" fontId="8" fillId="3" borderId="39" xfId="20" quotePrefix="1" applyFont="1" applyFill="1" applyBorder="1" applyAlignment="1">
      <alignment horizontal="center" vertical="center" wrapText="1"/>
    </xf>
    <xf numFmtId="3" fontId="52" fillId="3" borderId="45" xfId="20" applyNumberFormat="1" applyFont="1" applyFill="1" applyBorder="1" applyAlignment="1">
      <alignment horizontal="right" vertical="center"/>
    </xf>
    <xf numFmtId="10" fontId="52" fillId="3" borderId="45" xfId="20" applyNumberFormat="1" applyFont="1" applyFill="1" applyBorder="1" applyAlignment="1">
      <alignment horizontal="right" vertical="center"/>
    </xf>
    <xf numFmtId="0" fontId="56" fillId="5" borderId="7" xfId="20" applyFont="1" applyFill="1" applyBorder="1" applyAlignment="1">
      <alignment horizontal="center" vertical="center" wrapText="1"/>
    </xf>
    <xf numFmtId="0" fontId="56" fillId="5" borderId="5" xfId="20" applyFont="1" applyFill="1" applyBorder="1" applyAlignment="1">
      <alignment horizontal="center" vertical="center" wrapText="1"/>
    </xf>
    <xf numFmtId="0" fontId="57" fillId="5" borderId="7" xfId="20" applyFont="1" applyFill="1" applyBorder="1" applyAlignment="1">
      <alignment vertical="center" wrapText="1"/>
    </xf>
    <xf numFmtId="0" fontId="61" fillId="9" borderId="5" xfId="20" applyFont="1" applyFill="1" applyBorder="1" applyAlignment="1">
      <alignment horizontal="center" vertical="center" wrapText="1"/>
    </xf>
    <xf numFmtId="0" fontId="46" fillId="7" borderId="16" xfId="20" quotePrefix="1" applyFont="1" applyFill="1" applyBorder="1" applyAlignment="1">
      <alignment horizontal="left" vertical="center" wrapText="1"/>
    </xf>
    <xf numFmtId="0" fontId="8" fillId="3" borderId="18" xfId="20" quotePrefix="1" applyFont="1" applyFill="1" applyBorder="1" applyAlignment="1">
      <alignment horizontal="left" vertical="center" wrapText="1"/>
    </xf>
    <xf numFmtId="49" fontId="29" fillId="0" borderId="17" xfId="20" applyNumberFormat="1" applyFont="1" applyBorder="1" applyAlignment="1">
      <alignment horizontal="center" vertical="center"/>
    </xf>
    <xf numFmtId="0" fontId="29" fillId="0" borderId="18" xfId="20" applyFont="1" applyBorder="1" applyAlignment="1">
      <alignment vertical="center"/>
    </xf>
    <xf numFmtId="49" fontId="29" fillId="0" borderId="1" xfId="20" applyNumberFormat="1" applyFont="1" applyBorder="1" applyAlignment="1">
      <alignment horizontal="center" vertical="center"/>
    </xf>
    <xf numFmtId="49" fontId="29" fillId="0" borderId="44" xfId="20" applyNumberFormat="1" applyFont="1" applyBorder="1" applyAlignment="1">
      <alignment horizontal="center" vertical="center"/>
    </xf>
    <xf numFmtId="0" fontId="29" fillId="0" borderId="18" xfId="20" applyFont="1" applyBorder="1" applyAlignment="1">
      <alignment vertical="center" wrapText="1"/>
    </xf>
    <xf numFmtId="0" fontId="29" fillId="0" borderId="76" xfId="20" applyFont="1" applyBorder="1" applyAlignment="1">
      <alignment horizontal="left" vertical="center" wrapText="1"/>
    </xf>
    <xf numFmtId="49" fontId="55" fillId="0" borderId="17" xfId="20" applyNumberFormat="1" applyFont="1" applyBorder="1" applyAlignment="1">
      <alignment horizontal="center" vertical="center" wrapText="1"/>
    </xf>
    <xf numFmtId="0" fontId="29" fillId="0" borderId="37" xfId="20" applyFont="1" applyBorder="1" applyAlignment="1">
      <alignment horizontal="left" vertical="center" wrapText="1"/>
    </xf>
    <xf numFmtId="49" fontId="55" fillId="0" borderId="1" xfId="20" applyNumberFormat="1" applyFont="1" applyBorder="1" applyAlignment="1">
      <alignment horizontal="center" vertical="center" wrapText="1"/>
    </xf>
    <xf numFmtId="0" fontId="29" fillId="0" borderId="44" xfId="20" applyFont="1" applyBorder="1" applyAlignment="1">
      <alignment vertical="center" wrapText="1"/>
    </xf>
    <xf numFmtId="49" fontId="8" fillId="0" borderId="51" xfId="20" applyNumberFormat="1" applyFont="1" applyFill="1" applyBorder="1" applyAlignment="1">
      <alignment horizontal="center" vertical="center" wrapText="1"/>
    </xf>
    <xf numFmtId="0" fontId="29" fillId="0" borderId="76" xfId="20" applyFont="1" applyBorder="1" applyAlignment="1">
      <alignment vertical="center" wrapText="1"/>
    </xf>
    <xf numFmtId="0" fontId="46" fillId="7" borderId="44" xfId="20" applyFont="1" applyFill="1" applyBorder="1" applyAlignment="1">
      <alignment horizontal="left" vertical="center" wrapText="1"/>
    </xf>
    <xf numFmtId="0" fontId="46" fillId="3" borderId="25" xfId="20" applyFont="1" applyFill="1" applyBorder="1" applyAlignment="1">
      <alignment horizontal="left" vertical="center" wrapText="1"/>
    </xf>
    <xf numFmtId="0" fontId="8" fillId="3" borderId="3" xfId="20" applyFont="1" applyFill="1" applyBorder="1" applyAlignment="1">
      <alignment horizontal="left" vertical="center" wrapText="1"/>
    </xf>
    <xf numFmtId="0" fontId="8" fillId="3" borderId="24" xfId="20" applyFont="1" applyFill="1" applyBorder="1" applyAlignment="1">
      <alignment horizontal="center" vertical="center" wrapText="1"/>
    </xf>
    <xf numFmtId="0" fontId="50" fillId="9" borderId="5" xfId="20" applyFont="1" applyFill="1" applyBorder="1" applyAlignment="1">
      <alignment horizontal="center" vertical="center" wrapText="1"/>
    </xf>
    <xf numFmtId="0" fontId="59" fillId="9" borderId="8" xfId="20" applyFont="1" applyFill="1" applyBorder="1" applyAlignment="1">
      <alignment vertical="center" wrapText="1"/>
    </xf>
    <xf numFmtId="0" fontId="8" fillId="3" borderId="50" xfId="20" quotePrefix="1" applyFont="1" applyFill="1" applyBorder="1" applyAlignment="1">
      <alignment horizontal="left" vertical="center" wrapText="1"/>
    </xf>
    <xf numFmtId="49" fontId="55" fillId="0" borderId="46" xfId="20" applyNumberFormat="1" applyFont="1" applyBorder="1" applyAlignment="1">
      <alignment horizontal="center" vertical="center" wrapText="1"/>
    </xf>
    <xf numFmtId="0" fontId="46" fillId="7" borderId="24" xfId="20" quotePrefix="1" applyFont="1" applyFill="1" applyBorder="1" applyAlignment="1">
      <alignment horizontal="left" vertical="center" wrapText="1"/>
    </xf>
    <xf numFmtId="0" fontId="63" fillId="0" borderId="75" xfId="20" applyFont="1" applyBorder="1" applyAlignment="1">
      <alignment horizontal="left" vertical="center" wrapText="1"/>
    </xf>
    <xf numFmtId="49" fontId="8" fillId="3" borderId="46" xfId="20" quotePrefix="1" applyNumberFormat="1" applyFont="1" applyFill="1" applyBorder="1" applyAlignment="1">
      <alignment horizontal="center" vertical="center" wrapText="1"/>
    </xf>
    <xf numFmtId="0" fontId="61" fillId="9" borderId="7" xfId="20" applyFont="1" applyFill="1" applyBorder="1" applyAlignment="1">
      <alignment horizontal="center" vertical="center" wrapText="1"/>
    </xf>
    <xf numFmtId="49" fontId="8" fillId="3" borderId="44" xfId="20" quotePrefix="1" applyNumberFormat="1" applyFont="1" applyFill="1" applyBorder="1" applyAlignment="1">
      <alignment horizontal="center" vertical="center" wrapText="1"/>
    </xf>
    <xf numFmtId="49" fontId="8" fillId="3" borderId="12" xfId="20" quotePrefix="1" applyNumberFormat="1" applyFont="1" applyFill="1" applyBorder="1" applyAlignment="1">
      <alignment horizontal="center" vertical="center" wrapText="1"/>
    </xf>
    <xf numFmtId="0" fontId="63" fillId="3" borderId="18" xfId="20" applyFont="1" applyFill="1" applyBorder="1" applyAlignment="1">
      <alignment horizontal="left" vertical="center" wrapText="1"/>
    </xf>
    <xf numFmtId="0" fontId="63" fillId="3" borderId="50" xfId="20" applyFont="1" applyFill="1" applyBorder="1" applyAlignment="1">
      <alignment horizontal="left" vertical="center" wrapText="1"/>
    </xf>
    <xf numFmtId="0" fontId="63" fillId="3" borderId="0" xfId="20" applyFont="1" applyFill="1" applyBorder="1" applyAlignment="1">
      <alignment horizontal="left" vertical="center" wrapText="1"/>
    </xf>
    <xf numFmtId="0" fontId="55" fillId="0" borderId="70" xfId="20" applyFont="1" applyBorder="1" applyAlignment="1">
      <alignment vertical="center" wrapText="1"/>
    </xf>
    <xf numFmtId="0" fontId="55" fillId="0" borderId="50" xfId="20" applyFont="1" applyBorder="1" applyAlignment="1">
      <alignment vertical="center" wrapText="1"/>
    </xf>
    <xf numFmtId="0" fontId="55" fillId="0" borderId="44" xfId="20" applyFont="1" applyBorder="1" applyAlignment="1">
      <alignment vertical="center" wrapText="1"/>
    </xf>
    <xf numFmtId="0" fontId="55" fillId="0" borderId="12" xfId="20" applyFont="1" applyBorder="1" applyAlignment="1">
      <alignment horizontal="center" vertical="center" wrapText="1"/>
    </xf>
    <xf numFmtId="0" fontId="50" fillId="9" borderId="9" xfId="20" applyFont="1" applyFill="1" applyBorder="1" applyAlignment="1">
      <alignment horizontal="center" vertical="center" wrapText="1"/>
    </xf>
    <xf numFmtId="0" fontId="59" fillId="9" borderId="7" xfId="20" applyFont="1" applyFill="1" applyBorder="1" applyAlignment="1">
      <alignment horizontal="left" vertical="center" wrapText="1"/>
    </xf>
    <xf numFmtId="0" fontId="8" fillId="9" borderId="24" xfId="20" quotePrefix="1" applyFont="1" applyFill="1" applyBorder="1" applyAlignment="1">
      <alignment horizontal="center" vertical="center" wrapText="1"/>
    </xf>
    <xf numFmtId="3" fontId="58" fillId="9" borderId="4" xfId="20" applyNumberFormat="1" applyFont="1" applyFill="1" applyBorder="1" applyAlignment="1">
      <alignment horizontal="right" vertical="center"/>
    </xf>
    <xf numFmtId="10" fontId="58" fillId="9" borderId="4" xfId="20" applyNumberFormat="1" applyFont="1" applyFill="1" applyBorder="1" applyAlignment="1">
      <alignment horizontal="right" vertical="center"/>
    </xf>
    <xf numFmtId="0" fontId="8" fillId="7" borderId="22" xfId="20" quotePrefix="1" applyFont="1" applyFill="1" applyBorder="1" applyAlignment="1">
      <alignment horizontal="center" vertical="center" wrapText="1"/>
    </xf>
    <xf numFmtId="3" fontId="52" fillId="7" borderId="21" xfId="20" applyNumberFormat="1" applyFont="1" applyFill="1" applyBorder="1" applyAlignment="1">
      <alignment horizontal="right" vertical="center"/>
    </xf>
    <xf numFmtId="10" fontId="52" fillId="7" borderId="21" xfId="20" applyNumberFormat="1" applyFont="1" applyFill="1" applyBorder="1" applyAlignment="1">
      <alignment horizontal="right" vertical="center"/>
    </xf>
    <xf numFmtId="0" fontId="29" fillId="3" borderId="44" xfId="20" applyFont="1" applyFill="1" applyBorder="1" applyAlignment="1">
      <alignment horizontal="left" vertical="center" wrapText="1"/>
    </xf>
    <xf numFmtId="49" fontId="8" fillId="3" borderId="46" xfId="20" applyNumberFormat="1" applyFont="1" applyFill="1" applyBorder="1" applyAlignment="1">
      <alignment horizontal="center" vertical="center" wrapText="1"/>
    </xf>
    <xf numFmtId="0" fontId="29" fillId="3" borderId="1" xfId="20" applyFont="1" applyFill="1" applyBorder="1" applyAlignment="1">
      <alignment horizontal="left" vertical="center" wrapText="1"/>
    </xf>
    <xf numFmtId="0" fontId="8" fillId="3" borderId="10" xfId="20" quotePrefix="1" applyFont="1" applyFill="1" applyBorder="1" applyAlignment="1">
      <alignment horizontal="center" vertical="center" wrapText="1"/>
    </xf>
    <xf numFmtId="0" fontId="29" fillId="3" borderId="51" xfId="20" applyFont="1" applyFill="1" applyBorder="1" applyAlignment="1">
      <alignment horizontal="left" vertical="center" wrapText="1"/>
    </xf>
    <xf numFmtId="0" fontId="8" fillId="3" borderId="52" xfId="20" quotePrefix="1" applyFont="1" applyFill="1" applyBorder="1" applyAlignment="1">
      <alignment horizontal="center" vertical="center" wrapText="1"/>
    </xf>
    <xf numFmtId="0" fontId="8" fillId="7" borderId="39" xfId="20" quotePrefix="1" applyFont="1" applyFill="1" applyBorder="1" applyAlignment="1">
      <alignment horizontal="center" vertical="center" wrapText="1"/>
    </xf>
    <xf numFmtId="0" fontId="64" fillId="5" borderId="7" xfId="20" applyFont="1" applyFill="1" applyBorder="1" applyAlignment="1">
      <alignment horizontal="center" vertical="center" wrapText="1"/>
    </xf>
    <xf numFmtId="0" fontId="64" fillId="5" borderId="5" xfId="20" applyFont="1" applyFill="1" applyBorder="1" applyAlignment="1">
      <alignment horizontal="center" vertical="center" wrapText="1"/>
    </xf>
    <xf numFmtId="0" fontId="65" fillId="5" borderId="7" xfId="20" applyFont="1" applyFill="1" applyBorder="1" applyAlignment="1">
      <alignment vertical="center" wrapText="1"/>
    </xf>
    <xf numFmtId="0" fontId="64" fillId="5" borderId="24" xfId="20" applyFont="1" applyFill="1" applyBorder="1" applyAlignment="1">
      <alignment vertical="center" wrapText="1"/>
    </xf>
    <xf numFmtId="0" fontId="8" fillId="9" borderId="8" xfId="20" quotePrefix="1" applyFont="1" applyFill="1" applyBorder="1" applyAlignment="1">
      <alignment horizontal="center" vertical="center" wrapText="1"/>
    </xf>
    <xf numFmtId="0" fontId="8" fillId="7" borderId="58" xfId="20" quotePrefix="1" applyFont="1" applyFill="1" applyBorder="1" applyAlignment="1">
      <alignment horizontal="center" vertical="center" wrapText="1"/>
    </xf>
    <xf numFmtId="0" fontId="46" fillId="3" borderId="17" xfId="20" applyFont="1" applyFill="1" applyBorder="1" applyAlignment="1">
      <alignment horizontal="left" vertical="center" wrapText="1"/>
    </xf>
    <xf numFmtId="0" fontId="46" fillId="7" borderId="12" xfId="20" quotePrefix="1" applyFont="1" applyFill="1" applyBorder="1" applyAlignment="1">
      <alignment horizontal="left" vertical="center" wrapText="1"/>
    </xf>
    <xf numFmtId="3" fontId="60" fillId="7" borderId="17" xfId="20" applyNumberFormat="1" applyFont="1" applyFill="1" applyBorder="1" applyAlignment="1">
      <alignment horizontal="right" vertical="center"/>
    </xf>
    <xf numFmtId="10" fontId="60" fillId="7" borderId="17" xfId="20" applyNumberFormat="1" applyFont="1" applyFill="1" applyBorder="1" applyAlignment="1">
      <alignment horizontal="right" vertical="center"/>
    </xf>
    <xf numFmtId="0" fontId="63" fillId="0" borderId="74" xfId="20" applyFont="1" applyBorder="1" applyAlignment="1">
      <alignment vertical="center" wrapText="1"/>
    </xf>
    <xf numFmtId="49" fontId="8" fillId="3" borderId="10" xfId="20" quotePrefix="1" applyNumberFormat="1" applyFont="1" applyFill="1" applyBorder="1" applyAlignment="1">
      <alignment horizontal="center" vertical="center" wrapText="1"/>
    </xf>
    <xf numFmtId="0" fontId="28" fillId="3" borderId="0" xfId="20" applyFill="1"/>
    <xf numFmtId="0" fontId="63" fillId="0" borderId="0" xfId="20" applyFont="1" applyBorder="1" applyAlignment="1">
      <alignment vertical="center" wrapText="1"/>
    </xf>
    <xf numFmtId="49" fontId="55" fillId="0" borderId="51" xfId="20" applyNumberFormat="1" applyFont="1" applyBorder="1" applyAlignment="1">
      <alignment horizontal="center" vertical="center" wrapText="1"/>
    </xf>
    <xf numFmtId="0" fontId="64" fillId="0" borderId="1" xfId="20" applyFont="1" applyBorder="1" applyAlignment="1">
      <alignment horizontal="center" vertical="center" wrapText="1"/>
    </xf>
    <xf numFmtId="0" fontId="46" fillId="3" borderId="1" xfId="20" applyFont="1" applyFill="1" applyBorder="1" applyAlignment="1">
      <alignment horizontal="center" vertical="center" wrapText="1"/>
    </xf>
    <xf numFmtId="0" fontId="63" fillId="0" borderId="52" xfId="20" applyFont="1" applyBorder="1" applyAlignment="1">
      <alignment vertical="center" wrapText="1"/>
    </xf>
    <xf numFmtId="49" fontId="55" fillId="0" borderId="52" xfId="20" applyNumberFormat="1" applyFont="1" applyBorder="1" applyAlignment="1">
      <alignment horizontal="center" vertical="center" wrapText="1"/>
    </xf>
    <xf numFmtId="0" fontId="61" fillId="5" borderId="7" xfId="20" applyFont="1" applyFill="1" applyBorder="1" applyAlignment="1">
      <alignment horizontal="center" vertical="center" wrapText="1"/>
    </xf>
    <xf numFmtId="0" fontId="64" fillId="5" borderId="8" xfId="20" applyFont="1" applyFill="1" applyBorder="1" applyAlignment="1">
      <alignment vertical="center" wrapText="1"/>
    </xf>
    <xf numFmtId="0" fontId="46" fillId="3" borderId="45" xfId="20" applyFont="1" applyFill="1" applyBorder="1" applyAlignment="1">
      <alignment horizontal="left" vertical="center" wrapText="1"/>
    </xf>
    <xf numFmtId="0" fontId="8" fillId="3" borderId="2" xfId="20" quotePrefix="1" applyFont="1" applyFill="1" applyBorder="1" applyAlignment="1">
      <alignment horizontal="left" vertical="center" wrapText="1"/>
    </xf>
    <xf numFmtId="49" fontId="8" fillId="3" borderId="39" xfId="20" quotePrefix="1" applyNumberFormat="1" applyFont="1" applyFill="1" applyBorder="1" applyAlignment="1">
      <alignment horizontal="center" vertical="center" wrapText="1"/>
    </xf>
    <xf numFmtId="3" fontId="60" fillId="3" borderId="45" xfId="20" applyNumberFormat="1" applyFont="1" applyFill="1" applyBorder="1" applyAlignment="1">
      <alignment horizontal="right" vertical="center"/>
    </xf>
    <xf numFmtId="10" fontId="60" fillId="3" borderId="45" xfId="20" applyNumberFormat="1" applyFont="1" applyFill="1" applyBorder="1" applyAlignment="1">
      <alignment horizontal="right" vertical="center"/>
    </xf>
    <xf numFmtId="0" fontId="46" fillId="0" borderId="74" xfId="20" applyFont="1" applyFill="1" applyBorder="1" applyAlignment="1">
      <alignment horizontal="center" vertical="center" wrapText="1"/>
    </xf>
    <xf numFmtId="0" fontId="8" fillId="0" borderId="12" xfId="20" quotePrefix="1" applyFont="1" applyFill="1" applyBorder="1" applyAlignment="1">
      <alignment horizontal="center" vertical="center" wrapText="1"/>
    </xf>
    <xf numFmtId="0" fontId="61" fillId="9" borderId="8" xfId="20" applyFont="1" applyFill="1" applyBorder="1" applyAlignment="1">
      <alignment horizontal="center" vertical="center" wrapText="1"/>
    </xf>
    <xf numFmtId="0" fontId="63" fillId="3" borderId="44" xfId="20" applyFont="1" applyFill="1" applyBorder="1" applyAlignment="1">
      <alignment vertical="center" wrapText="1"/>
    </xf>
    <xf numFmtId="49" fontId="66" fillId="7" borderId="10" xfId="20" applyNumberFormat="1" applyFont="1" applyFill="1" applyBorder="1" applyAlignment="1">
      <alignment vertical="center" wrapText="1"/>
    </xf>
    <xf numFmtId="0" fontId="61" fillId="0" borderId="37" xfId="20" applyFont="1" applyBorder="1" applyAlignment="1">
      <alignment horizontal="center" vertical="center" wrapText="1"/>
    </xf>
    <xf numFmtId="0" fontId="55" fillId="0" borderId="10" xfId="20" applyFont="1" applyBorder="1" applyAlignment="1">
      <alignment horizontal="center" vertical="center" wrapText="1"/>
    </xf>
    <xf numFmtId="0" fontId="46" fillId="7" borderId="46" xfId="20" quotePrefix="1" applyFont="1" applyFill="1" applyBorder="1" applyAlignment="1">
      <alignment horizontal="center" vertical="center" wrapText="1"/>
    </xf>
    <xf numFmtId="3" fontId="60" fillId="7" borderId="51" xfId="20" applyNumberFormat="1" applyFont="1" applyFill="1" applyBorder="1" applyAlignment="1">
      <alignment horizontal="right" vertical="center"/>
    </xf>
    <xf numFmtId="10" fontId="60" fillId="7" borderId="51" xfId="20" applyNumberFormat="1" applyFont="1" applyFill="1" applyBorder="1" applyAlignment="1">
      <alignment horizontal="right" vertical="center"/>
    </xf>
    <xf numFmtId="0" fontId="56" fillId="5" borderId="7" xfId="20" applyFont="1" applyFill="1" applyBorder="1" applyAlignment="1">
      <alignment vertical="center" wrapText="1"/>
    </xf>
    <xf numFmtId="0" fontId="57" fillId="5" borderId="5" xfId="20" applyFont="1" applyFill="1" applyBorder="1" applyAlignment="1">
      <alignment vertical="center" wrapText="1"/>
    </xf>
    <xf numFmtId="0" fontId="56" fillId="5" borderId="8" xfId="20" applyFont="1" applyFill="1" applyBorder="1" applyAlignment="1">
      <alignment horizontal="left" vertical="center" wrapText="1"/>
    </xf>
    <xf numFmtId="0" fontId="43" fillId="0" borderId="0" xfId="20" applyFont="1"/>
    <xf numFmtId="0" fontId="61" fillId="9" borderId="25" xfId="20" applyFont="1" applyFill="1" applyBorder="1" applyAlignment="1">
      <alignment horizontal="center" vertical="center" wrapText="1"/>
    </xf>
    <xf numFmtId="49" fontId="8" fillId="0" borderId="44" xfId="20" applyNumberFormat="1" applyFont="1" applyBorder="1" applyAlignment="1">
      <alignment horizontal="center" vertical="center" wrapText="1"/>
    </xf>
    <xf numFmtId="49" fontId="8" fillId="0" borderId="17" xfId="20" applyNumberFormat="1" applyFont="1" applyBorder="1" applyAlignment="1">
      <alignment horizontal="center" vertical="center" wrapText="1"/>
    </xf>
    <xf numFmtId="0" fontId="29" fillId="0" borderId="18" xfId="20" applyFont="1" applyBorder="1" applyAlignment="1">
      <alignment horizontal="left" vertical="center" wrapText="1"/>
    </xf>
    <xf numFmtId="49" fontId="8" fillId="0" borderId="1" xfId="20" applyNumberFormat="1" applyFont="1" applyBorder="1" applyAlignment="1">
      <alignment horizontal="center" vertical="center" wrapText="1"/>
    </xf>
    <xf numFmtId="49" fontId="46" fillId="7" borderId="46" xfId="20" quotePrefix="1" applyNumberFormat="1" applyFont="1" applyFill="1" applyBorder="1" applyAlignment="1">
      <alignment horizontal="center" vertical="center" wrapText="1"/>
    </xf>
    <xf numFmtId="0" fontId="55" fillId="3" borderId="1" xfId="20" applyFont="1" applyFill="1" applyBorder="1" applyAlignment="1">
      <alignment horizontal="center" vertical="center" wrapText="1"/>
    </xf>
    <xf numFmtId="0" fontId="8" fillId="3" borderId="0" xfId="20" quotePrefix="1" applyFont="1" applyFill="1" applyBorder="1" applyAlignment="1">
      <alignment horizontal="left" vertical="center" wrapText="1"/>
    </xf>
    <xf numFmtId="3" fontId="52" fillId="3" borderId="1" xfId="20" applyNumberFormat="1" applyFont="1" applyFill="1" applyBorder="1" applyAlignment="1">
      <alignment horizontal="right" vertical="center"/>
    </xf>
    <xf numFmtId="10" fontId="60" fillId="3" borderId="1" xfId="20" applyNumberFormat="1" applyFont="1" applyFill="1" applyBorder="1" applyAlignment="1">
      <alignment horizontal="right" vertical="center"/>
    </xf>
    <xf numFmtId="0" fontId="61" fillId="5" borderId="5" xfId="20" applyFont="1" applyFill="1" applyBorder="1" applyAlignment="1">
      <alignment horizontal="center" vertical="center" wrapText="1"/>
    </xf>
    <xf numFmtId="0" fontId="65" fillId="5" borderId="9" xfId="20" applyFont="1" applyFill="1" applyBorder="1" applyAlignment="1">
      <alignment vertical="center" wrapText="1"/>
    </xf>
    <xf numFmtId="3" fontId="58" fillId="2" borderId="21" xfId="20" applyNumberFormat="1" applyFont="1" applyFill="1" applyBorder="1" applyAlignment="1">
      <alignment horizontal="right" vertical="center"/>
    </xf>
    <xf numFmtId="10" fontId="58" fillId="2" borderId="21" xfId="20" applyNumberFormat="1" applyFont="1" applyFill="1" applyBorder="1" applyAlignment="1">
      <alignment horizontal="right" vertical="center"/>
    </xf>
    <xf numFmtId="0" fontId="62" fillId="9" borderId="9" xfId="20" applyFont="1" applyFill="1" applyBorder="1" applyAlignment="1">
      <alignment vertical="center" wrapText="1"/>
    </xf>
    <xf numFmtId="49" fontId="8" fillId="0" borderId="12" xfId="20" applyNumberFormat="1" applyFont="1" applyBorder="1" applyAlignment="1">
      <alignment horizontal="center" vertical="center" wrapText="1"/>
    </xf>
    <xf numFmtId="0" fontId="63" fillId="0" borderId="18" xfId="20" applyFont="1" applyBorder="1" applyAlignment="1">
      <alignment vertical="center" wrapText="1"/>
    </xf>
    <xf numFmtId="0" fontId="64" fillId="0" borderId="1" xfId="20" applyFont="1" applyFill="1" applyBorder="1" applyAlignment="1">
      <alignment horizontal="center" vertical="center" wrapText="1"/>
    </xf>
    <xf numFmtId="0" fontId="46" fillId="3" borderId="4" xfId="20" applyFont="1" applyFill="1" applyBorder="1" applyAlignment="1">
      <alignment horizontal="left" vertical="center" wrapText="1"/>
    </xf>
    <xf numFmtId="0" fontId="8" fillId="3" borderId="3" xfId="20" quotePrefix="1" applyFont="1" applyFill="1" applyBorder="1" applyAlignment="1">
      <alignment horizontal="left" vertical="center" wrapText="1"/>
    </xf>
    <xf numFmtId="10" fontId="52" fillId="3" borderId="1" xfId="20" applyNumberFormat="1" applyFont="1" applyFill="1" applyBorder="1" applyAlignment="1">
      <alignment horizontal="right" vertical="center"/>
    </xf>
    <xf numFmtId="0" fontId="50" fillId="9" borderId="7" xfId="20" applyFont="1" applyFill="1" applyBorder="1" applyAlignment="1">
      <alignment horizontal="center" vertical="center" wrapText="1"/>
    </xf>
    <xf numFmtId="0" fontId="59" fillId="9" borderId="3" xfId="20" quotePrefix="1" applyFont="1" applyFill="1" applyBorder="1" applyAlignment="1">
      <alignment horizontal="left" vertical="center" wrapText="1"/>
    </xf>
    <xf numFmtId="0" fontId="46" fillId="9" borderId="24" xfId="20" quotePrefix="1" applyFont="1" applyFill="1" applyBorder="1" applyAlignment="1">
      <alignment horizontal="left" vertical="center" wrapText="1"/>
    </xf>
    <xf numFmtId="0" fontId="8" fillId="3" borderId="37" xfId="20" quotePrefix="1" applyFont="1" applyFill="1" applyBorder="1" applyAlignment="1">
      <alignment horizontal="left" vertical="center" wrapText="1"/>
    </xf>
    <xf numFmtId="0" fontId="46" fillId="7" borderId="52" xfId="20" quotePrefix="1" applyFont="1" applyFill="1" applyBorder="1" applyAlignment="1">
      <alignment horizontal="left" vertical="center" wrapText="1"/>
    </xf>
    <xf numFmtId="0" fontId="8" fillId="3" borderId="75" xfId="20" quotePrefix="1" applyFont="1" applyFill="1" applyBorder="1" applyAlignment="1">
      <alignment horizontal="left" vertical="center" wrapText="1"/>
    </xf>
    <xf numFmtId="0" fontId="8" fillId="3" borderId="70" xfId="20" quotePrefix="1" applyFont="1" applyFill="1" applyBorder="1" applyAlignment="1">
      <alignment horizontal="center" vertical="center" wrapText="1"/>
    </xf>
    <xf numFmtId="0" fontId="8" fillId="3" borderId="2" xfId="20" quotePrefix="1" applyFont="1" applyFill="1" applyBorder="1" applyAlignment="1">
      <alignment horizontal="center" vertical="center" wrapText="1"/>
    </xf>
    <xf numFmtId="0" fontId="59" fillId="9" borderId="7" xfId="20" quotePrefix="1" applyFont="1" applyFill="1" applyBorder="1" applyAlignment="1">
      <alignment horizontal="left" vertical="center" wrapText="1"/>
    </xf>
    <xf numFmtId="0" fontId="46" fillId="3" borderId="44" xfId="20" applyFont="1" applyFill="1" applyBorder="1" applyAlignment="1">
      <alignment horizontal="left" vertical="center"/>
    </xf>
    <xf numFmtId="0" fontId="8" fillId="3" borderId="76" xfId="20" quotePrefix="1" applyFont="1" applyFill="1" applyBorder="1" applyAlignment="1">
      <alignment horizontal="left" vertical="center" wrapText="1"/>
    </xf>
    <xf numFmtId="0" fontId="8" fillId="3" borderId="50" xfId="20" quotePrefix="1" applyFont="1" applyFill="1" applyBorder="1" applyAlignment="1">
      <alignment horizontal="center" vertical="center" wrapText="1"/>
    </xf>
    <xf numFmtId="0" fontId="46" fillId="3" borderId="45" xfId="20" applyFont="1" applyFill="1" applyBorder="1" applyAlignment="1">
      <alignment horizontal="left" vertical="center"/>
    </xf>
    <xf numFmtId="0" fontId="8" fillId="3" borderId="57" xfId="20" applyFont="1" applyFill="1" applyBorder="1" applyAlignment="1">
      <alignment horizontal="left" vertical="center" wrapText="1"/>
    </xf>
    <xf numFmtId="0" fontId="50" fillId="9" borderId="4" xfId="20" applyFont="1" applyFill="1" applyBorder="1" applyAlignment="1">
      <alignment horizontal="center" vertical="center" wrapText="1"/>
    </xf>
    <xf numFmtId="0" fontId="59" fillId="9" borderId="4" xfId="20" quotePrefix="1" applyFont="1" applyFill="1" applyBorder="1" applyAlignment="1">
      <alignment horizontal="left" vertical="center" wrapText="1"/>
    </xf>
    <xf numFmtId="0" fontId="46" fillId="9" borderId="3" xfId="20" quotePrefix="1" applyFont="1" applyFill="1" applyBorder="1" applyAlignment="1">
      <alignment horizontal="left" vertical="center" wrapText="1"/>
    </xf>
    <xf numFmtId="0" fontId="50" fillId="3" borderId="51" xfId="20" applyFont="1" applyFill="1" applyBorder="1" applyAlignment="1">
      <alignment horizontal="center" vertical="center" wrapText="1"/>
    </xf>
    <xf numFmtId="0" fontId="29" fillId="3" borderId="0" xfId="20" quotePrefix="1" applyFont="1" applyFill="1" applyBorder="1" applyAlignment="1">
      <alignment horizontal="left" vertical="center" wrapText="1"/>
    </xf>
    <xf numFmtId="0" fontId="8" fillId="3" borderId="51" xfId="20" quotePrefix="1" applyFont="1" applyFill="1" applyBorder="1" applyAlignment="1">
      <alignment horizontal="center" vertical="center" wrapText="1"/>
    </xf>
    <xf numFmtId="0" fontId="46" fillId="7" borderId="2" xfId="20" quotePrefix="1" applyFont="1" applyFill="1" applyBorder="1" applyAlignment="1">
      <alignment horizontal="left" vertical="center" wrapText="1"/>
    </xf>
    <xf numFmtId="49" fontId="8" fillId="3" borderId="51" xfId="20" quotePrefix="1" applyNumberFormat="1" applyFont="1" applyFill="1" applyBorder="1" applyAlignment="1">
      <alignment horizontal="center" vertical="center" wrapText="1"/>
    </xf>
    <xf numFmtId="0" fontId="29" fillId="0" borderId="52" xfId="20" applyFont="1" applyBorder="1" applyAlignment="1">
      <alignment wrapText="1"/>
    </xf>
    <xf numFmtId="0" fontId="29" fillId="0" borderId="44" xfId="20" applyFont="1" applyBorder="1" applyAlignment="1">
      <alignment wrapText="1"/>
    </xf>
    <xf numFmtId="0" fontId="29" fillId="3" borderId="37" xfId="20" quotePrefix="1" applyFont="1" applyFill="1" applyBorder="1" applyAlignment="1">
      <alignment horizontal="left" vertical="center" wrapText="1"/>
    </xf>
    <xf numFmtId="0" fontId="29" fillId="3" borderId="44" xfId="20" quotePrefix="1" applyFont="1" applyFill="1" applyBorder="1" applyAlignment="1">
      <alignment horizontal="left" vertical="center" wrapText="1"/>
    </xf>
    <xf numFmtId="0" fontId="29" fillId="3" borderId="75" xfId="20" quotePrefix="1" applyFont="1" applyFill="1" applyBorder="1" applyAlignment="1">
      <alignment vertical="center" wrapText="1"/>
    </xf>
    <xf numFmtId="0" fontId="29" fillId="3" borderId="76" xfId="20" quotePrefix="1" applyFont="1" applyFill="1" applyBorder="1" applyAlignment="1">
      <alignment vertical="center" wrapText="1"/>
    </xf>
    <xf numFmtId="0" fontId="8" fillId="3" borderId="44" xfId="20" quotePrefix="1" applyFont="1" applyFill="1" applyBorder="1" applyAlignment="1">
      <alignment horizontal="center" vertical="center" wrapText="1"/>
    </xf>
    <xf numFmtId="0" fontId="46" fillId="0" borderId="45" xfId="20" applyFont="1" applyBorder="1" applyAlignment="1">
      <alignment horizontal="center" vertical="center" wrapText="1"/>
    </xf>
    <xf numFmtId="0" fontId="29" fillId="3" borderId="45" xfId="20" quotePrefix="1" applyFont="1" applyFill="1" applyBorder="1" applyAlignment="1">
      <alignment vertical="center" wrapText="1"/>
    </xf>
    <xf numFmtId="0" fontId="8" fillId="0" borderId="45" xfId="20" quotePrefix="1" applyFont="1" applyBorder="1" applyAlignment="1">
      <alignment horizontal="center" vertical="center" wrapText="1"/>
    </xf>
    <xf numFmtId="0" fontId="46" fillId="7" borderId="58" xfId="20" applyFont="1" applyFill="1" applyBorder="1" applyAlignment="1">
      <alignment horizontal="left" vertical="center" wrapText="1"/>
    </xf>
    <xf numFmtId="0" fontId="46" fillId="3" borderId="44" xfId="20" applyFont="1" applyFill="1" applyBorder="1" applyAlignment="1">
      <alignment horizontal="left" vertical="center" wrapText="1"/>
    </xf>
    <xf numFmtId="0" fontId="8" fillId="3" borderId="10" xfId="20" applyFont="1" applyFill="1" applyBorder="1" applyAlignment="1">
      <alignment horizontal="center" vertical="center" wrapText="1"/>
    </xf>
    <xf numFmtId="0" fontId="8" fillId="3" borderId="18" xfId="20" applyFont="1" applyFill="1" applyBorder="1" applyAlignment="1">
      <alignment horizontal="left" vertical="center" wrapText="1"/>
    </xf>
    <xf numFmtId="49" fontId="8" fillId="3" borderId="12" xfId="20" applyNumberFormat="1" applyFont="1" applyFill="1" applyBorder="1" applyAlignment="1">
      <alignment horizontal="center" vertical="center" wrapText="1"/>
    </xf>
    <xf numFmtId="0" fontId="46" fillId="7" borderId="12" xfId="20" applyFont="1" applyFill="1" applyBorder="1" applyAlignment="1">
      <alignment horizontal="left" vertical="center" wrapText="1"/>
    </xf>
    <xf numFmtId="0" fontId="64" fillId="5" borderId="7" xfId="1" applyFont="1" applyFill="1" applyBorder="1" applyAlignment="1">
      <alignment horizontal="center" vertical="center" wrapText="1"/>
    </xf>
    <xf numFmtId="0" fontId="64" fillId="5" borderId="5" xfId="1" applyFont="1" applyFill="1" applyBorder="1" applyAlignment="1">
      <alignment horizontal="center" vertical="center" wrapText="1"/>
    </xf>
    <xf numFmtId="0" fontId="65" fillId="5" borderId="7" xfId="1" applyFont="1" applyFill="1" applyBorder="1" applyAlignment="1">
      <alignment vertical="center" wrapText="1"/>
    </xf>
    <xf numFmtId="0" fontId="67" fillId="5" borderId="8" xfId="1" applyFont="1" applyFill="1" applyBorder="1" applyAlignment="1">
      <alignment vertical="center" wrapText="1"/>
    </xf>
    <xf numFmtId="0" fontId="61" fillId="9" borderId="5" xfId="1" applyFont="1" applyFill="1" applyBorder="1" applyAlignment="1">
      <alignment horizontal="center" vertical="center" wrapText="1"/>
    </xf>
    <xf numFmtId="0" fontId="62" fillId="9" borderId="7" xfId="1" applyFont="1" applyFill="1" applyBorder="1" applyAlignment="1">
      <alignment vertical="center" wrapText="1"/>
    </xf>
    <xf numFmtId="0" fontId="68" fillId="9" borderId="8" xfId="1" applyFont="1" applyFill="1" applyBorder="1" applyAlignment="1">
      <alignment vertical="center" wrapText="1"/>
    </xf>
    <xf numFmtId="0" fontId="46" fillId="7" borderId="12" xfId="1" applyFont="1" applyFill="1" applyBorder="1" applyAlignment="1">
      <alignment horizontal="left" vertical="center" wrapText="1"/>
    </xf>
    <xf numFmtId="0" fontId="61" fillId="3" borderId="76" xfId="1" applyFont="1" applyFill="1" applyBorder="1" applyAlignment="1">
      <alignment horizontal="center" vertical="center" wrapText="1"/>
    </xf>
    <xf numFmtId="0" fontId="63" fillId="3" borderId="50" xfId="1" applyFont="1" applyFill="1" applyBorder="1" applyAlignment="1">
      <alignment vertical="center" wrapText="1"/>
    </xf>
    <xf numFmtId="0" fontId="69" fillId="3" borderId="46" xfId="1" applyFont="1" applyFill="1" applyBorder="1" applyAlignment="1">
      <alignment horizontal="center" vertical="center" wrapText="1"/>
    </xf>
    <xf numFmtId="0" fontId="46" fillId="7" borderId="52" xfId="1" applyFont="1" applyFill="1" applyBorder="1" applyAlignment="1">
      <alignment horizontal="left" vertical="center" wrapText="1"/>
    </xf>
    <xf numFmtId="0" fontId="69" fillId="7" borderId="46" xfId="1" applyFont="1" applyFill="1" applyBorder="1" applyAlignment="1">
      <alignment horizontal="center" vertical="center" wrapText="1"/>
    </xf>
    <xf numFmtId="10" fontId="52" fillId="7" borderId="44" xfId="20" applyNumberFormat="1" applyFont="1" applyFill="1" applyBorder="1" applyAlignment="1">
      <alignment horizontal="right" vertical="center"/>
    </xf>
    <xf numFmtId="0" fontId="46" fillId="3" borderId="44" xfId="1" applyFont="1" applyFill="1" applyBorder="1" applyAlignment="1">
      <alignment vertical="center" wrapText="1"/>
    </xf>
    <xf numFmtId="0" fontId="8" fillId="3" borderId="50" xfId="1" applyFont="1" applyFill="1" applyBorder="1" applyAlignment="1">
      <alignment vertical="center" wrapText="1"/>
    </xf>
    <xf numFmtId="0" fontId="8" fillId="3" borderId="46" xfId="1" applyFont="1" applyFill="1" applyBorder="1" applyAlignment="1">
      <alignment horizontal="center" vertical="center" wrapText="1"/>
    </xf>
    <xf numFmtId="0" fontId="61" fillId="9" borderId="25" xfId="1" applyFont="1" applyFill="1" applyBorder="1" applyAlignment="1">
      <alignment horizontal="center" vertical="center" wrapText="1"/>
    </xf>
    <xf numFmtId="0" fontId="62" fillId="9" borderId="4" xfId="1" applyFont="1" applyFill="1" applyBorder="1" applyAlignment="1">
      <alignment vertical="center" wrapText="1"/>
    </xf>
    <xf numFmtId="0" fontId="68" fillId="9" borderId="24" xfId="1" applyFont="1" applyFill="1" applyBorder="1" applyAlignment="1">
      <alignment vertical="center" wrapText="1"/>
    </xf>
    <xf numFmtId="0" fontId="46" fillId="7" borderId="46" xfId="1" applyFont="1" applyFill="1" applyBorder="1" applyAlignment="1">
      <alignment horizontal="left" vertical="center" wrapText="1"/>
    </xf>
    <xf numFmtId="49" fontId="69" fillId="3" borderId="46" xfId="1" applyNumberFormat="1" applyFont="1" applyFill="1" applyBorder="1" applyAlignment="1">
      <alignment horizontal="center" vertical="center" wrapText="1"/>
    </xf>
    <xf numFmtId="0" fontId="46" fillId="7" borderId="10" xfId="1" applyFont="1" applyFill="1" applyBorder="1" applyAlignment="1">
      <alignment horizontal="left" vertical="center" wrapText="1"/>
    </xf>
    <xf numFmtId="0" fontId="63" fillId="3" borderId="46" xfId="1" applyFont="1" applyFill="1" applyBorder="1" applyAlignment="1">
      <alignment vertical="center" wrapText="1"/>
    </xf>
    <xf numFmtId="0" fontId="62" fillId="9" borderId="5" xfId="1" applyFont="1" applyFill="1" applyBorder="1" applyAlignment="1">
      <alignment horizontal="center" vertical="center" wrapText="1"/>
    </xf>
    <xf numFmtId="0" fontId="62" fillId="9" borderId="8" xfId="1" applyFont="1" applyFill="1" applyBorder="1" applyAlignment="1">
      <alignment vertical="center" wrapText="1"/>
    </xf>
    <xf numFmtId="0" fontId="70" fillId="7" borderId="10" xfId="1" applyFont="1" applyFill="1" applyBorder="1" applyAlignment="1">
      <alignment horizontal="left" vertical="center" wrapText="1"/>
    </xf>
    <xf numFmtId="0" fontId="29" fillId="3" borderId="44" xfId="1" applyFont="1" applyFill="1" applyBorder="1" applyAlignment="1">
      <alignment vertical="center" wrapText="1"/>
    </xf>
    <xf numFmtId="0" fontId="29" fillId="3" borderId="44" xfId="1" applyFont="1" applyFill="1" applyBorder="1" applyAlignment="1">
      <alignment horizontal="center" vertical="center" wrapText="1"/>
    </xf>
    <xf numFmtId="0" fontId="29" fillId="3" borderId="46" xfId="1" applyFont="1" applyFill="1" applyBorder="1" applyAlignment="1">
      <alignment horizontal="center" vertical="center" wrapText="1"/>
    </xf>
    <xf numFmtId="0" fontId="70" fillId="7" borderId="44" xfId="1" applyFont="1" applyFill="1" applyBorder="1" applyAlignment="1">
      <alignment horizontal="center" vertical="center" wrapText="1"/>
    </xf>
    <xf numFmtId="0" fontId="29" fillId="3" borderId="50" xfId="1" applyFont="1" applyFill="1" applyBorder="1" applyAlignment="1">
      <alignment horizontal="left" vertical="center" wrapText="1"/>
    </xf>
    <xf numFmtId="0" fontId="8" fillId="3" borderId="52" xfId="1" applyFont="1" applyFill="1" applyBorder="1" applyAlignment="1">
      <alignment horizontal="left" vertical="center" wrapText="1"/>
    </xf>
    <xf numFmtId="0" fontId="8" fillId="3" borderId="44" xfId="1" applyFont="1" applyFill="1" applyBorder="1" applyAlignment="1">
      <alignment horizontal="left" vertical="center" wrapText="1"/>
    </xf>
    <xf numFmtId="0" fontId="8" fillId="3" borderId="51" xfId="1" applyFont="1" applyFill="1" applyBorder="1" applyAlignment="1">
      <alignment horizontal="left" vertical="center" wrapText="1"/>
    </xf>
    <xf numFmtId="0" fontId="8" fillId="3" borderId="45" xfId="1" applyFont="1" applyFill="1" applyBorder="1" applyAlignment="1">
      <alignment horizontal="left" vertical="center" wrapText="1"/>
    </xf>
    <xf numFmtId="0" fontId="70" fillId="7" borderId="12" xfId="1" applyFont="1" applyFill="1" applyBorder="1" applyAlignment="1">
      <alignment horizontal="left" vertical="center" wrapText="1"/>
    </xf>
    <xf numFmtId="0" fontId="29" fillId="3" borderId="52" xfId="1" applyFont="1" applyFill="1" applyBorder="1" applyAlignment="1">
      <alignment horizontal="left" vertical="center" wrapText="1"/>
    </xf>
    <xf numFmtId="0" fontId="29" fillId="3" borderId="52" xfId="1" applyFont="1" applyFill="1" applyBorder="1" applyAlignment="1">
      <alignment horizontal="center" vertical="center" wrapText="1"/>
    </xf>
    <xf numFmtId="0" fontId="29" fillId="3" borderId="44" xfId="1" applyFont="1" applyFill="1" applyBorder="1" applyAlignment="1">
      <alignment horizontal="left" vertical="center" wrapText="1"/>
    </xf>
    <xf numFmtId="0" fontId="29" fillId="3" borderId="46" xfId="1" applyFont="1" applyFill="1" applyBorder="1" applyAlignment="1">
      <alignment horizontal="left" vertical="center" wrapText="1"/>
    </xf>
    <xf numFmtId="0" fontId="29" fillId="3" borderId="51" xfId="1" applyFont="1" applyFill="1" applyBorder="1" applyAlignment="1">
      <alignment vertical="center" wrapText="1"/>
    </xf>
    <xf numFmtId="0" fontId="29" fillId="3" borderId="17" xfId="1" applyFont="1" applyFill="1" applyBorder="1" applyAlignment="1">
      <alignment horizontal="center" vertical="center" wrapText="1"/>
    </xf>
    <xf numFmtId="0" fontId="70" fillId="7" borderId="46" xfId="1" applyFont="1" applyFill="1" applyBorder="1" applyAlignment="1">
      <alignment horizontal="center" vertical="center" wrapText="1"/>
    </xf>
    <xf numFmtId="0" fontId="70" fillId="3" borderId="51" xfId="1" applyFont="1" applyFill="1" applyBorder="1" applyAlignment="1">
      <alignment horizontal="left" vertical="center" wrapText="1"/>
    </xf>
    <xf numFmtId="0" fontId="70" fillId="3" borderId="1" xfId="1" applyFont="1" applyFill="1" applyBorder="1" applyAlignment="1">
      <alignment horizontal="left" vertical="center" wrapText="1"/>
    </xf>
    <xf numFmtId="0" fontId="29" fillId="0" borderId="1" xfId="20" applyFont="1" applyBorder="1" applyAlignment="1">
      <alignment vertical="center" wrapText="1"/>
    </xf>
    <xf numFmtId="0" fontId="65" fillId="5" borderId="5" xfId="1" applyFont="1" applyFill="1" applyBorder="1" applyAlignment="1">
      <alignment horizontal="center" vertical="center" wrapText="1"/>
    </xf>
    <xf numFmtId="0" fontId="65" fillId="5" borderId="8" xfId="1" applyFont="1" applyFill="1" applyBorder="1" applyAlignment="1">
      <alignment vertical="center" wrapText="1"/>
    </xf>
    <xf numFmtId="0" fontId="28" fillId="11" borderId="0" xfId="20" applyFill="1"/>
    <xf numFmtId="0" fontId="59" fillId="9" borderId="5" xfId="1" applyFont="1" applyFill="1" applyBorder="1" applyAlignment="1">
      <alignment horizontal="center" vertical="center" wrapText="1"/>
    </xf>
    <xf numFmtId="0" fontId="59" fillId="9" borderId="7" xfId="1" applyFont="1" applyFill="1" applyBorder="1" applyAlignment="1">
      <alignment horizontal="left" vertical="center" wrapText="1"/>
    </xf>
    <xf numFmtId="0" fontId="59" fillId="9" borderId="8" xfId="1" applyFont="1" applyFill="1" applyBorder="1" applyAlignment="1">
      <alignment horizontal="left" vertical="center" wrapText="1"/>
    </xf>
    <xf numFmtId="0" fontId="28" fillId="9" borderId="0" xfId="20" applyFill="1"/>
    <xf numFmtId="0" fontId="29" fillId="3" borderId="76" xfId="1" applyFont="1" applyFill="1" applyBorder="1" applyAlignment="1">
      <alignment vertical="center" wrapText="1"/>
    </xf>
    <xf numFmtId="0" fontId="29" fillId="3" borderId="0" xfId="1" applyFont="1" applyFill="1" applyBorder="1" applyAlignment="1">
      <alignment vertical="center" wrapText="1"/>
    </xf>
    <xf numFmtId="0" fontId="70" fillId="7" borderId="39" xfId="1" applyFont="1" applyFill="1" applyBorder="1" applyAlignment="1">
      <alignment horizontal="left" vertical="center" wrapText="1"/>
    </xf>
    <xf numFmtId="0" fontId="70" fillId="3" borderId="44" xfId="1" applyFont="1" applyFill="1" applyBorder="1" applyAlignment="1">
      <alignment horizontal="left" vertical="center" wrapText="1"/>
    </xf>
    <xf numFmtId="0" fontId="29" fillId="3" borderId="0" xfId="1" applyFont="1" applyFill="1" applyBorder="1" applyAlignment="1">
      <alignment horizontal="left" vertical="center" wrapText="1"/>
    </xf>
    <xf numFmtId="0" fontId="29" fillId="3" borderId="10" xfId="1" applyFont="1" applyFill="1" applyBorder="1" applyAlignment="1">
      <alignment horizontal="center" vertical="center" wrapText="1"/>
    </xf>
    <xf numFmtId="0" fontId="70" fillId="7" borderId="52" xfId="1" applyFont="1" applyFill="1" applyBorder="1" applyAlignment="1">
      <alignment horizontal="left" vertical="center" wrapText="1"/>
    </xf>
    <xf numFmtId="49" fontId="70" fillId="7" borderId="46" xfId="1" applyNumberFormat="1" applyFont="1" applyFill="1" applyBorder="1" applyAlignment="1">
      <alignment horizontal="center" vertical="center" wrapText="1"/>
    </xf>
    <xf numFmtId="49" fontId="70" fillId="7" borderId="12" xfId="1" applyNumberFormat="1" applyFont="1" applyFill="1" applyBorder="1" applyAlignment="1">
      <alignment horizontal="center" vertical="center" wrapText="1"/>
    </xf>
    <xf numFmtId="49" fontId="29" fillId="3" borderId="44" xfId="1" applyNumberFormat="1" applyFont="1" applyFill="1" applyBorder="1" applyAlignment="1">
      <alignment horizontal="center" vertical="center" wrapText="1"/>
    </xf>
    <xf numFmtId="0" fontId="29" fillId="3" borderId="70" xfId="1" applyFont="1" applyFill="1" applyBorder="1" applyAlignment="1">
      <alignment horizontal="left" vertical="center" wrapText="1"/>
    </xf>
    <xf numFmtId="0" fontId="29" fillId="3" borderId="74" xfId="1" applyFont="1" applyFill="1" applyBorder="1" applyAlignment="1">
      <alignment vertical="center" wrapText="1"/>
    </xf>
    <xf numFmtId="0" fontId="29" fillId="3" borderId="76" xfId="1" applyFont="1" applyFill="1" applyBorder="1" applyAlignment="1">
      <alignment horizontal="left" vertical="center" wrapText="1"/>
    </xf>
    <xf numFmtId="0" fontId="59" fillId="9" borderId="25" xfId="1" applyFont="1" applyFill="1" applyBorder="1" applyAlignment="1">
      <alignment horizontal="center" vertical="center" wrapText="1"/>
    </xf>
    <xf numFmtId="0" fontId="59" fillId="9" borderId="4" xfId="1" applyFont="1" applyFill="1" applyBorder="1" applyAlignment="1">
      <alignment horizontal="left" vertical="center" wrapText="1"/>
    </xf>
    <xf numFmtId="0" fontId="59" fillId="9" borderId="24" xfId="1" applyFont="1" applyFill="1" applyBorder="1" applyAlignment="1">
      <alignment horizontal="left" vertical="center" wrapText="1"/>
    </xf>
    <xf numFmtId="0" fontId="70" fillId="3" borderId="1" xfId="1" applyFont="1" applyFill="1" applyBorder="1" applyAlignment="1">
      <alignment horizontal="center" vertical="center" wrapText="1"/>
    </xf>
    <xf numFmtId="0" fontId="63" fillId="0" borderId="17" xfId="20" applyFont="1" applyBorder="1" applyAlignment="1">
      <alignment vertical="center" wrapText="1"/>
    </xf>
    <xf numFmtId="0" fontId="70" fillId="3" borderId="17" xfId="1" applyFont="1" applyFill="1" applyBorder="1" applyAlignment="1">
      <alignment horizontal="center" vertical="center" wrapText="1"/>
    </xf>
    <xf numFmtId="49" fontId="70" fillId="7" borderId="39" xfId="1" applyNumberFormat="1" applyFont="1" applyFill="1" applyBorder="1" applyAlignment="1">
      <alignment horizontal="center" vertical="center" wrapText="1"/>
    </xf>
    <xf numFmtId="0" fontId="64" fillId="3" borderId="1" xfId="1" applyFont="1" applyFill="1" applyBorder="1" applyAlignment="1">
      <alignment horizontal="center" vertical="center" wrapText="1"/>
    </xf>
    <xf numFmtId="0" fontId="29" fillId="3" borderId="0" xfId="1" quotePrefix="1" applyFont="1" applyFill="1" applyBorder="1" applyAlignment="1">
      <alignment horizontal="left" vertical="center" wrapText="1"/>
    </xf>
    <xf numFmtId="0" fontId="63" fillId="0" borderId="76" xfId="20" quotePrefix="1" applyFont="1" applyBorder="1" applyAlignment="1">
      <alignment vertical="center" wrapText="1"/>
    </xf>
    <xf numFmtId="0" fontId="63" fillId="0" borderId="37" xfId="20" quotePrefix="1" applyFont="1" applyBorder="1" applyAlignment="1">
      <alignment vertical="center" wrapText="1"/>
    </xf>
    <xf numFmtId="49" fontId="70" fillId="7" borderId="52" xfId="1" applyNumberFormat="1" applyFont="1" applyFill="1" applyBorder="1" applyAlignment="1">
      <alignment horizontal="center" vertical="center" wrapText="1"/>
    </xf>
    <xf numFmtId="0" fontId="70" fillId="3" borderId="45" xfId="1" applyFont="1" applyFill="1" applyBorder="1" applyAlignment="1">
      <alignment horizontal="left" vertical="center" wrapText="1"/>
    </xf>
    <xf numFmtId="0" fontId="29" fillId="3" borderId="2" xfId="1" quotePrefix="1" applyFont="1" applyFill="1" applyBorder="1" applyAlignment="1">
      <alignment horizontal="left" vertical="center" wrapText="1"/>
    </xf>
    <xf numFmtId="49" fontId="29" fillId="3" borderId="39" xfId="1" applyNumberFormat="1" applyFont="1" applyFill="1" applyBorder="1" applyAlignment="1">
      <alignment horizontal="center" vertical="center" wrapText="1"/>
    </xf>
    <xf numFmtId="0" fontId="70" fillId="3" borderId="51" xfId="1" applyFont="1" applyFill="1" applyBorder="1" applyAlignment="1">
      <alignment horizontal="center" vertical="center" wrapText="1"/>
    </xf>
    <xf numFmtId="0" fontId="29" fillId="3" borderId="51" xfId="1" applyFont="1" applyFill="1" applyBorder="1" applyAlignment="1">
      <alignment horizontal="left" vertical="center" wrapText="1"/>
    </xf>
    <xf numFmtId="0" fontId="62" fillId="9" borderId="7" xfId="1" applyFont="1" applyFill="1" applyBorder="1" applyAlignment="1">
      <alignment horizontal="center" vertical="center" wrapText="1"/>
    </xf>
    <xf numFmtId="0" fontId="70" fillId="7" borderId="58" xfId="1" applyFont="1" applyFill="1" applyBorder="1" applyAlignment="1">
      <alignment horizontal="left" vertical="center" wrapText="1"/>
    </xf>
    <xf numFmtId="0" fontId="55" fillId="3" borderId="76" xfId="1" applyFont="1" applyFill="1" applyBorder="1" applyAlignment="1">
      <alignment vertical="center" wrapText="1"/>
    </xf>
    <xf numFmtId="0" fontId="55" fillId="3" borderId="74" xfId="1" applyFont="1" applyFill="1" applyBorder="1" applyAlignment="1">
      <alignment vertical="center" wrapText="1"/>
    </xf>
    <xf numFmtId="0" fontId="55" fillId="3" borderId="46" xfId="1" applyFont="1" applyFill="1" applyBorder="1" applyAlignment="1">
      <alignment horizontal="center" vertical="center" wrapText="1"/>
    </xf>
    <xf numFmtId="0" fontId="55" fillId="3" borderId="37" xfId="1" quotePrefix="1" applyFont="1" applyFill="1" applyBorder="1" applyAlignment="1">
      <alignment vertical="center" wrapText="1"/>
    </xf>
    <xf numFmtId="0" fontId="55" fillId="3" borderId="52" xfId="1" applyFont="1" applyFill="1" applyBorder="1" applyAlignment="1">
      <alignment horizontal="center" vertical="center" wrapText="1"/>
    </xf>
    <xf numFmtId="0" fontId="29" fillId="3" borderId="50" xfId="20" applyFont="1" applyFill="1" applyBorder="1" applyAlignment="1">
      <alignment horizontal="left" vertical="center" wrapText="1"/>
    </xf>
    <xf numFmtId="0" fontId="8" fillId="0" borderId="44" xfId="20" applyFont="1" applyBorder="1" applyAlignment="1">
      <alignment horizontal="center" vertical="center" wrapText="1"/>
    </xf>
    <xf numFmtId="3" fontId="60" fillId="3" borderId="44" xfId="20" applyNumberFormat="1" applyFont="1" applyFill="1" applyBorder="1" applyAlignment="1">
      <alignment horizontal="right" vertical="center"/>
    </xf>
    <xf numFmtId="0" fontId="29" fillId="3" borderId="25" xfId="1" quotePrefix="1" applyFont="1" applyFill="1" applyBorder="1" applyAlignment="1">
      <alignment horizontal="left" vertical="center" wrapText="1"/>
    </xf>
    <xf numFmtId="0" fontId="29" fillId="3" borderId="24" xfId="1" applyFont="1" applyFill="1" applyBorder="1" applyAlignment="1">
      <alignment horizontal="center" vertical="center" wrapText="1"/>
    </xf>
    <xf numFmtId="3" fontId="60" fillId="3" borderId="1" xfId="20" applyNumberFormat="1" applyFont="1" applyFill="1" applyBorder="1" applyAlignment="1">
      <alignment horizontal="right" vertical="center"/>
    </xf>
    <xf numFmtId="0" fontId="70" fillId="7" borderId="46" xfId="1" applyFont="1" applyFill="1" applyBorder="1" applyAlignment="1">
      <alignment horizontal="left" vertical="center" wrapText="1"/>
    </xf>
    <xf numFmtId="0" fontId="29" fillId="0" borderId="46" xfId="20" applyFont="1" applyBorder="1" applyAlignment="1">
      <alignment horizontal="left" vertical="center" wrapText="1"/>
    </xf>
    <xf numFmtId="0" fontId="8" fillId="0" borderId="46" xfId="20" applyFont="1" applyBorder="1" applyAlignment="1">
      <alignment horizontal="center" vertical="center" wrapText="1"/>
    </xf>
    <xf numFmtId="0" fontId="64" fillId="3" borderId="10" xfId="1" applyFont="1" applyFill="1" applyBorder="1" applyAlignment="1">
      <alignment horizontal="center" vertical="center" wrapText="1"/>
    </xf>
    <xf numFmtId="0" fontId="29" fillId="0" borderId="44" xfId="20" applyFont="1" applyBorder="1" applyAlignment="1">
      <alignment horizontal="left" vertical="center" wrapText="1"/>
    </xf>
    <xf numFmtId="0" fontId="8" fillId="0" borderId="17" xfId="20" applyFont="1" applyBorder="1" applyAlignment="1">
      <alignment horizontal="center" vertical="center" wrapText="1"/>
    </xf>
    <xf numFmtId="0" fontId="29" fillId="0" borderId="1" xfId="20" applyFont="1" applyBorder="1" applyAlignment="1">
      <alignment horizontal="left" vertical="center" wrapText="1"/>
    </xf>
    <xf numFmtId="0" fontId="8" fillId="0" borderId="1" xfId="20" applyFont="1" applyBorder="1" applyAlignment="1">
      <alignment horizontal="center" vertical="center" wrapText="1"/>
    </xf>
    <xf numFmtId="0" fontId="29" fillId="3" borderId="45" xfId="1" applyFont="1" applyFill="1" applyBorder="1" applyAlignment="1">
      <alignment horizontal="left" vertical="center" wrapText="1"/>
    </xf>
    <xf numFmtId="0" fontId="29" fillId="3" borderId="45" xfId="1" applyFont="1" applyFill="1" applyBorder="1" applyAlignment="1">
      <alignment horizontal="center" vertical="center" wrapText="1"/>
    </xf>
    <xf numFmtId="0" fontId="70" fillId="3" borderId="4" xfId="1" applyFont="1" applyFill="1" applyBorder="1" applyAlignment="1">
      <alignment horizontal="left" vertical="center" wrapText="1"/>
    </xf>
    <xf numFmtId="0" fontId="59" fillId="9" borderId="7" xfId="1" applyFont="1" applyFill="1" applyBorder="1" applyAlignment="1">
      <alignment horizontal="center" vertical="center" wrapText="1"/>
    </xf>
    <xf numFmtId="0" fontId="29" fillId="3" borderId="44" xfId="1" quotePrefix="1" applyFont="1" applyFill="1" applyBorder="1" applyAlignment="1">
      <alignment horizontal="left" vertical="center" wrapText="1"/>
    </xf>
    <xf numFmtId="0" fontId="29" fillId="3" borderId="1" xfId="1" applyFont="1" applyFill="1" applyBorder="1" applyAlignment="1">
      <alignment horizontal="left" vertical="center" wrapText="1"/>
    </xf>
    <xf numFmtId="0" fontId="62" fillId="9" borderId="4" xfId="1" applyFont="1" applyFill="1" applyBorder="1" applyAlignment="1">
      <alignment horizontal="center" vertical="center" wrapText="1"/>
    </xf>
    <xf numFmtId="0" fontId="62" fillId="3" borderId="17" xfId="1" applyFont="1" applyFill="1" applyBorder="1" applyAlignment="1">
      <alignment horizontal="center" vertical="center" wrapText="1"/>
    </xf>
    <xf numFmtId="0" fontId="62" fillId="3" borderId="76" xfId="1" applyFont="1" applyFill="1" applyBorder="1" applyAlignment="1">
      <alignment horizontal="center" vertical="center" wrapText="1"/>
    </xf>
    <xf numFmtId="0" fontId="64" fillId="3" borderId="4" xfId="1" applyFont="1" applyFill="1" applyBorder="1" applyAlignment="1">
      <alignment horizontal="center" vertical="center" wrapText="1"/>
    </xf>
    <xf numFmtId="0" fontId="64" fillId="3" borderId="1" xfId="1" applyFont="1" applyFill="1" applyBorder="1" applyAlignment="1">
      <alignment vertical="center" wrapText="1"/>
    </xf>
    <xf numFmtId="0" fontId="65" fillId="3" borderId="44" xfId="1" applyFont="1" applyFill="1" applyBorder="1" applyAlignment="1">
      <alignment horizontal="center" vertical="center" wrapText="1"/>
    </xf>
    <xf numFmtId="0" fontId="29" fillId="3" borderId="75" xfId="1" applyFont="1" applyFill="1" applyBorder="1" applyAlignment="1">
      <alignment vertical="center" wrapText="1"/>
    </xf>
    <xf numFmtId="0" fontId="62" fillId="9" borderId="24" xfId="1" applyFont="1" applyFill="1" applyBorder="1" applyAlignment="1">
      <alignment vertical="center" wrapText="1"/>
    </xf>
    <xf numFmtId="49" fontId="29" fillId="3" borderId="52" xfId="1" applyNumberFormat="1" applyFont="1" applyFill="1" applyBorder="1" applyAlignment="1">
      <alignment horizontal="center" vertical="center" wrapText="1"/>
    </xf>
    <xf numFmtId="10" fontId="60" fillId="3" borderId="17" xfId="20" applyNumberFormat="1" applyFont="1" applyFill="1" applyBorder="1" applyAlignment="1">
      <alignment horizontal="right" vertical="center"/>
    </xf>
    <xf numFmtId="3" fontId="60" fillId="3" borderId="51" xfId="20" applyNumberFormat="1" applyFont="1" applyFill="1" applyBorder="1" applyAlignment="1">
      <alignment horizontal="right" vertical="center"/>
    </xf>
    <xf numFmtId="0" fontId="29" fillId="3" borderId="18" xfId="1" applyFont="1" applyFill="1" applyBorder="1" applyAlignment="1">
      <alignment horizontal="left" vertical="center" wrapText="1"/>
    </xf>
    <xf numFmtId="0" fontId="29" fillId="3" borderId="12" xfId="1" applyFont="1" applyFill="1" applyBorder="1" applyAlignment="1">
      <alignment horizontal="center" vertical="center" wrapText="1"/>
    </xf>
    <xf numFmtId="3" fontId="60" fillId="3" borderId="17" xfId="20" applyNumberFormat="1" applyFont="1" applyFill="1" applyBorder="1" applyAlignment="1">
      <alignment horizontal="right" vertical="center"/>
    </xf>
    <xf numFmtId="49" fontId="29" fillId="3" borderId="46" xfId="1" applyNumberFormat="1" applyFont="1" applyFill="1" applyBorder="1" applyAlignment="1">
      <alignment horizontal="center" vertical="center" wrapText="1"/>
    </xf>
    <xf numFmtId="0" fontId="29" fillId="3" borderId="70" xfId="1" quotePrefix="1" applyFont="1" applyFill="1" applyBorder="1" applyAlignment="1">
      <alignment horizontal="left" vertical="center" wrapText="1"/>
    </xf>
    <xf numFmtId="49" fontId="29" fillId="3" borderId="10" xfId="1" applyNumberFormat="1" applyFont="1" applyFill="1" applyBorder="1" applyAlignment="1">
      <alignment horizontal="center" vertical="center" wrapText="1"/>
    </xf>
    <xf numFmtId="0" fontId="29" fillId="3" borderId="17" xfId="1" quotePrefix="1" applyFont="1" applyFill="1" applyBorder="1" applyAlignment="1">
      <alignment horizontal="left" vertical="center" wrapText="1"/>
    </xf>
    <xf numFmtId="3" fontId="60" fillId="3" borderId="4" xfId="20" applyNumberFormat="1" applyFont="1" applyFill="1" applyBorder="1" applyAlignment="1">
      <alignment horizontal="right" vertical="center"/>
    </xf>
    <xf numFmtId="3" fontId="52" fillId="3" borderId="4" xfId="20" applyNumberFormat="1" applyFont="1" applyFill="1" applyBorder="1" applyAlignment="1">
      <alignment horizontal="right" vertical="center"/>
    </xf>
    <xf numFmtId="10" fontId="52" fillId="3" borderId="4" xfId="20" applyNumberFormat="1" applyFont="1" applyFill="1" applyBorder="1" applyAlignment="1">
      <alignment horizontal="right" vertical="center"/>
    </xf>
    <xf numFmtId="0" fontId="70" fillId="3" borderId="76" xfId="1" applyFont="1" applyFill="1" applyBorder="1" applyAlignment="1">
      <alignment horizontal="left" vertical="center" wrapText="1"/>
    </xf>
    <xf numFmtId="0" fontId="55" fillId="3" borderId="50" xfId="1" applyFont="1" applyFill="1" applyBorder="1" applyAlignment="1">
      <alignment vertical="center" wrapText="1"/>
    </xf>
    <xf numFmtId="49" fontId="8" fillId="3" borderId="46" xfId="1" applyNumberFormat="1" applyFont="1" applyFill="1" applyBorder="1" applyAlignment="1">
      <alignment horizontal="center" vertical="center" wrapText="1"/>
    </xf>
    <xf numFmtId="49" fontId="63" fillId="3" borderId="12" xfId="1" applyNumberFormat="1" applyFont="1" applyFill="1" applyBorder="1" applyAlignment="1">
      <alignment horizontal="center" vertical="center" wrapText="1"/>
    </xf>
    <xf numFmtId="49" fontId="63" fillId="3" borderId="46" xfId="1" applyNumberFormat="1" applyFont="1" applyFill="1" applyBorder="1" applyAlignment="1">
      <alignment horizontal="center" vertical="center" wrapText="1"/>
    </xf>
    <xf numFmtId="0" fontId="55" fillId="3" borderId="1" xfId="1" applyFont="1" applyFill="1" applyBorder="1" applyAlignment="1">
      <alignment horizontal="center" vertical="center" wrapText="1"/>
    </xf>
    <xf numFmtId="0" fontId="29" fillId="3" borderId="2" xfId="1" applyFont="1" applyFill="1" applyBorder="1" applyAlignment="1">
      <alignment horizontal="left" vertical="center" wrapText="1"/>
    </xf>
    <xf numFmtId="0" fontId="29" fillId="3" borderId="39" xfId="1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1" fillId="0" borderId="50" xfId="0" applyFont="1" applyBorder="1" applyAlignment="1">
      <alignment horizontal="left" vertical="center" wrapText="1"/>
    </xf>
    <xf numFmtId="0" fontId="8" fillId="3" borderId="69" xfId="1" quotePrefix="1" applyFont="1" applyFill="1" applyBorder="1" applyAlignment="1">
      <alignment vertical="center" wrapText="1"/>
    </xf>
    <xf numFmtId="0" fontId="8" fillId="3" borderId="44" xfId="1" quotePrefix="1" applyFont="1" applyFill="1" applyBorder="1" applyAlignment="1">
      <alignment vertical="center" wrapText="1"/>
    </xf>
    <xf numFmtId="0" fontId="8" fillId="3" borderId="70" xfId="1" quotePrefix="1" applyFont="1" applyFill="1" applyBorder="1" applyAlignment="1">
      <alignment vertical="center" wrapText="1"/>
    </xf>
    <xf numFmtId="0" fontId="71" fillId="0" borderId="50" xfId="0" quotePrefix="1" applyFont="1" applyBorder="1" applyAlignment="1">
      <alignment horizontal="left" vertical="center" wrapText="1"/>
    </xf>
    <xf numFmtId="0" fontId="29" fillId="3" borderId="24" xfId="1" quotePrefix="1" applyFont="1" applyFill="1" applyBorder="1" applyAlignment="1">
      <alignment horizontal="left" vertical="center" wrapText="1"/>
    </xf>
    <xf numFmtId="0" fontId="57" fillId="5" borderId="7" xfId="20" applyFont="1" applyFill="1" applyBorder="1" applyAlignment="1">
      <alignment horizontal="center"/>
    </xf>
    <xf numFmtId="0" fontId="65" fillId="5" borderId="7" xfId="1" applyFont="1" applyFill="1" applyBorder="1" applyAlignment="1">
      <alignment horizontal="center" vertical="center" wrapText="1"/>
    </xf>
    <xf numFmtId="0" fontId="57" fillId="3" borderId="1" xfId="20" applyFont="1" applyFill="1" applyBorder="1" applyAlignment="1">
      <alignment horizontal="center"/>
    </xf>
    <xf numFmtId="0" fontId="64" fillId="0" borderId="1" xfId="1" applyFont="1" applyFill="1" applyBorder="1" applyAlignment="1">
      <alignment horizontal="center" vertical="center" wrapText="1"/>
    </xf>
    <xf numFmtId="0" fontId="65" fillId="9" borderId="8" xfId="1" applyFont="1" applyFill="1" applyBorder="1" applyAlignment="1">
      <alignment horizontal="center" vertical="center" wrapText="1"/>
    </xf>
    <xf numFmtId="0" fontId="65" fillId="9" borderId="8" xfId="1" applyFont="1" applyFill="1" applyBorder="1" applyAlignment="1">
      <alignment vertical="center" wrapText="1"/>
    </xf>
    <xf numFmtId="0" fontId="62" fillId="3" borderId="74" xfId="1" applyFont="1" applyFill="1" applyBorder="1" applyAlignment="1">
      <alignment horizontal="center" vertical="center" wrapText="1"/>
    </xf>
    <xf numFmtId="0" fontId="65" fillId="9" borderId="7" xfId="1" applyFont="1" applyFill="1" applyBorder="1" applyAlignment="1">
      <alignment vertical="center" wrapText="1"/>
    </xf>
    <xf numFmtId="49" fontId="63" fillId="3" borderId="52" xfId="1" applyNumberFormat="1" applyFont="1" applyFill="1" applyBorder="1" applyAlignment="1">
      <alignment horizontal="center" vertical="center" wrapText="1"/>
    </xf>
    <xf numFmtId="0" fontId="55" fillId="3" borderId="4" xfId="1" applyFont="1" applyFill="1" applyBorder="1" applyAlignment="1">
      <alignment horizontal="center" vertical="center" wrapText="1"/>
    </xf>
    <xf numFmtId="0" fontId="62" fillId="9" borderId="25" xfId="1" applyFont="1" applyFill="1" applyBorder="1" applyAlignment="1">
      <alignment horizontal="center" vertical="center" wrapText="1"/>
    </xf>
    <xf numFmtId="49" fontId="63" fillId="3" borderId="51" xfId="1" applyNumberFormat="1" applyFont="1" applyFill="1" applyBorder="1" applyAlignment="1">
      <alignment horizontal="center" vertical="center" wrapText="1"/>
    </xf>
    <xf numFmtId="0" fontId="63" fillId="3" borderId="70" xfId="1" applyFont="1" applyFill="1" applyBorder="1" applyAlignment="1">
      <alignment vertical="center" wrapText="1"/>
    </xf>
    <xf numFmtId="49" fontId="55" fillId="3" borderId="46" xfId="1" applyNumberFormat="1" applyFont="1" applyFill="1" applyBorder="1" applyAlignment="1">
      <alignment horizontal="center" vertical="center" wrapText="1"/>
    </xf>
    <xf numFmtId="49" fontId="55" fillId="3" borderId="52" xfId="1" applyNumberFormat="1" applyFont="1" applyFill="1" applyBorder="1" applyAlignment="1">
      <alignment horizontal="center" vertical="center" wrapText="1"/>
    </xf>
    <xf numFmtId="0" fontId="62" fillId="3" borderId="51" xfId="1" applyFont="1" applyFill="1" applyBorder="1" applyAlignment="1">
      <alignment vertical="center" wrapText="1"/>
    </xf>
    <xf numFmtId="0" fontId="63" fillId="3" borderId="44" xfId="1" applyFont="1" applyFill="1" applyBorder="1" applyAlignment="1">
      <alignment vertical="center" wrapText="1"/>
    </xf>
    <xf numFmtId="0" fontId="62" fillId="3" borderId="1" xfId="1" applyFont="1" applyFill="1" applyBorder="1" applyAlignment="1">
      <alignment vertical="center" wrapText="1"/>
    </xf>
    <xf numFmtId="0" fontId="63" fillId="3" borderId="1" xfId="1" applyFont="1" applyFill="1" applyBorder="1" applyAlignment="1">
      <alignment vertical="center" wrapText="1"/>
    </xf>
    <xf numFmtId="0" fontId="56" fillId="5" borderId="7" xfId="1" applyFont="1" applyFill="1" applyBorder="1" applyAlignment="1">
      <alignment horizontal="center" vertical="center" wrapText="1"/>
    </xf>
    <xf numFmtId="0" fontId="57" fillId="5" borderId="5" xfId="1" applyFont="1" applyFill="1" applyBorder="1" applyAlignment="1">
      <alignment horizontal="center" vertical="center" wrapText="1"/>
    </xf>
    <xf numFmtId="0" fontId="57" fillId="5" borderId="7" xfId="1" applyFont="1" applyFill="1" applyBorder="1" applyAlignment="1">
      <alignment vertical="center" wrapText="1"/>
    </xf>
    <xf numFmtId="0" fontId="57" fillId="5" borderId="8" xfId="1" applyFont="1" applyFill="1" applyBorder="1" applyAlignment="1">
      <alignment vertical="center" wrapText="1"/>
    </xf>
    <xf numFmtId="0" fontId="56" fillId="3" borderId="1" xfId="1" applyFont="1" applyFill="1" applyBorder="1" applyAlignment="1">
      <alignment horizontal="center" vertical="center" wrapText="1"/>
    </xf>
    <xf numFmtId="0" fontId="70" fillId="7" borderId="22" xfId="1" applyFont="1" applyFill="1" applyBorder="1" applyAlignment="1">
      <alignment horizontal="left" vertical="center" wrapText="1"/>
    </xf>
    <xf numFmtId="0" fontId="29" fillId="3" borderId="50" xfId="1" quotePrefix="1" applyFont="1" applyFill="1" applyBorder="1" applyAlignment="1">
      <alignment horizontal="left" vertical="center" wrapText="1"/>
    </xf>
    <xf numFmtId="0" fontId="70" fillId="3" borderId="45" xfId="1" applyFont="1" applyFill="1" applyBorder="1" applyAlignment="1">
      <alignment horizontal="center" vertical="center" wrapText="1"/>
    </xf>
    <xf numFmtId="0" fontId="63" fillId="3" borderId="2" xfId="1" applyFont="1" applyFill="1" applyBorder="1" applyAlignment="1">
      <alignment vertical="center" wrapText="1"/>
    </xf>
    <xf numFmtId="49" fontId="63" fillId="3" borderId="39" xfId="1" applyNumberFormat="1" applyFont="1" applyFill="1" applyBorder="1" applyAlignment="1">
      <alignment horizontal="center" vertical="center" wrapText="1"/>
    </xf>
    <xf numFmtId="0" fontId="63" fillId="3" borderId="46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6" fillId="0" borderId="4" xfId="1" applyFont="1" applyFill="1" applyBorder="1" applyAlignment="1">
      <alignment horizontal="center" vertical="center" wrapText="1"/>
    </xf>
    <xf numFmtId="0" fontId="29" fillId="3" borderId="57" xfId="1" applyFont="1" applyFill="1" applyBorder="1" applyAlignment="1">
      <alignment horizontal="left" vertical="center" wrapText="1"/>
    </xf>
    <xf numFmtId="0" fontId="29" fillId="5" borderId="5" xfId="1" applyFont="1" applyFill="1" applyBorder="1" applyAlignment="1">
      <alignment horizontal="center" vertical="center" wrapText="1"/>
    </xf>
    <xf numFmtId="0" fontId="57" fillId="5" borderId="7" xfId="1" applyFont="1" applyFill="1" applyBorder="1" applyAlignment="1">
      <alignment horizontal="left" vertical="center" wrapText="1"/>
    </xf>
    <xf numFmtId="0" fontId="57" fillId="5" borderId="8" xfId="1" applyFont="1" applyFill="1" applyBorder="1" applyAlignment="1">
      <alignment horizontal="left" vertical="center" wrapText="1"/>
    </xf>
    <xf numFmtId="49" fontId="29" fillId="3" borderId="70" xfId="1" applyNumberFormat="1" applyFont="1" applyFill="1" applyBorder="1" applyAlignment="1">
      <alignment horizontal="center" vertical="center" wrapText="1"/>
    </xf>
    <xf numFmtId="0" fontId="29" fillId="3" borderId="76" xfId="1" applyFont="1" applyFill="1" applyBorder="1" applyAlignment="1">
      <alignment horizontal="center" vertical="center" wrapText="1"/>
    </xf>
    <xf numFmtId="0" fontId="29" fillId="3" borderId="50" xfId="1" applyFont="1" applyFill="1" applyBorder="1" applyAlignment="1">
      <alignment horizontal="center" vertical="center" wrapText="1"/>
    </xf>
    <xf numFmtId="3" fontId="52" fillId="7" borderId="1" xfId="20" applyNumberFormat="1" applyFont="1" applyFill="1" applyBorder="1" applyAlignment="1">
      <alignment horizontal="right" vertical="center"/>
    </xf>
    <xf numFmtId="10" fontId="52" fillId="7" borderId="1" xfId="20" applyNumberFormat="1" applyFont="1" applyFill="1" applyBorder="1" applyAlignment="1">
      <alignment horizontal="right" vertical="center"/>
    </xf>
    <xf numFmtId="49" fontId="29" fillId="3" borderId="50" xfId="1" applyNumberFormat="1" applyFont="1" applyFill="1" applyBorder="1" applyAlignment="1">
      <alignment horizontal="center" vertical="center" wrapText="1"/>
    </xf>
    <xf numFmtId="0" fontId="13" fillId="10" borderId="8" xfId="1" applyFont="1" applyFill="1" applyBorder="1" applyAlignment="1">
      <alignment horizontal="center" vertical="center" wrapText="1"/>
    </xf>
    <xf numFmtId="3" fontId="72" fillId="10" borderId="21" xfId="20" applyNumberFormat="1" applyFont="1" applyFill="1" applyBorder="1" applyAlignment="1">
      <alignment horizontal="right" vertical="center"/>
    </xf>
    <xf numFmtId="10" fontId="72" fillId="10" borderId="21" xfId="20" applyNumberFormat="1" applyFont="1" applyFill="1" applyBorder="1" applyAlignment="1">
      <alignment horizontal="right" vertical="center"/>
    </xf>
    <xf numFmtId="0" fontId="18" fillId="7" borderId="16" xfId="1" applyFont="1" applyFill="1" applyBorder="1" applyAlignment="1">
      <alignment vertical="center"/>
    </xf>
    <xf numFmtId="3" fontId="72" fillId="7" borderId="21" xfId="20" applyNumberFormat="1" applyFont="1" applyFill="1" applyBorder="1" applyAlignment="1">
      <alignment horizontal="right" vertical="center"/>
    </xf>
    <xf numFmtId="10" fontId="72" fillId="7" borderId="21" xfId="20" applyNumberFormat="1" applyFont="1" applyFill="1" applyBorder="1" applyAlignment="1">
      <alignment horizontal="right" vertical="center"/>
    </xf>
    <xf numFmtId="0" fontId="18" fillId="7" borderId="44" xfId="1" applyFont="1" applyFill="1" applyBorder="1" applyAlignment="1">
      <alignment vertical="center"/>
    </xf>
    <xf numFmtId="3" fontId="73" fillId="7" borderId="44" xfId="20" applyNumberFormat="1" applyFont="1" applyFill="1" applyBorder="1" applyAlignment="1">
      <alignment horizontal="right" vertical="center"/>
    </xf>
    <xf numFmtId="10" fontId="73" fillId="7" borderId="44" xfId="20" applyNumberFormat="1" applyFont="1" applyFill="1" applyBorder="1" applyAlignment="1">
      <alignment horizontal="right" vertical="center"/>
    </xf>
    <xf numFmtId="0" fontId="18" fillId="7" borderId="45" xfId="1" applyFont="1" applyFill="1" applyBorder="1" applyAlignment="1">
      <alignment vertical="center"/>
    </xf>
    <xf numFmtId="3" fontId="73" fillId="7" borderId="4" xfId="20" applyNumberFormat="1" applyFont="1" applyFill="1" applyBorder="1" applyAlignment="1">
      <alignment horizontal="right" vertical="center"/>
    </xf>
    <xf numFmtId="10" fontId="73" fillId="7" borderId="4" xfId="20" applyNumberFormat="1" applyFont="1" applyFill="1" applyBorder="1" applyAlignment="1">
      <alignment horizontal="right" vertical="center"/>
    </xf>
    <xf numFmtId="0" fontId="28" fillId="0" borderId="0" xfId="20" applyBorder="1"/>
    <xf numFmtId="4" fontId="75" fillId="0" borderId="0" xfId="10" applyNumberFormat="1" applyFont="1" applyFill="1" applyBorder="1" applyAlignment="1" applyProtection="1">
      <alignment horizontal="left" vertical="center"/>
      <protection locked="0"/>
    </xf>
    <xf numFmtId="0" fontId="75" fillId="0" borderId="0" xfId="10" applyNumberFormat="1" applyFont="1" applyFill="1" applyBorder="1" applyAlignment="1" applyProtection="1">
      <alignment horizontal="left" vertical="center"/>
      <protection locked="0"/>
    </xf>
    <xf numFmtId="0" fontId="77" fillId="0" borderId="0" xfId="10" applyNumberFormat="1" applyFont="1" applyFill="1" applyBorder="1" applyAlignment="1" applyProtection="1">
      <alignment horizontal="left" vertical="center"/>
      <protection locked="0"/>
    </xf>
    <xf numFmtId="10" fontId="77" fillId="0" borderId="0" xfId="10" applyNumberFormat="1" applyFont="1" applyFill="1" applyBorder="1" applyAlignment="1" applyProtection="1">
      <alignment horizontal="left" vertical="center"/>
      <protection locked="0"/>
    </xf>
    <xf numFmtId="4" fontId="77" fillId="0" borderId="0" xfId="10" applyNumberFormat="1" applyFont="1" applyFill="1" applyBorder="1" applyAlignment="1" applyProtection="1">
      <alignment horizontal="left" vertical="center"/>
      <protection locked="0"/>
    </xf>
    <xf numFmtId="49" fontId="78" fillId="13" borderId="8" xfId="10" applyNumberFormat="1" applyFont="1" applyFill="1" applyBorder="1" applyAlignment="1" applyProtection="1">
      <alignment horizontal="center" vertical="center" wrapText="1"/>
      <protection locked="0"/>
    </xf>
    <xf numFmtId="49" fontId="78" fillId="13" borderId="7" xfId="10" applyNumberFormat="1" applyFont="1" applyFill="1" applyBorder="1" applyAlignment="1" applyProtection="1">
      <alignment horizontal="center" vertical="center" wrapText="1"/>
      <protection locked="0"/>
    </xf>
    <xf numFmtId="49" fontId="78" fillId="13" borderId="5" xfId="10" applyNumberFormat="1" applyFont="1" applyFill="1" applyBorder="1" applyAlignment="1" applyProtection="1">
      <alignment horizontal="center" vertical="center" wrapText="1"/>
      <protection locked="0"/>
    </xf>
    <xf numFmtId="0" fontId="78" fillId="2" borderId="7" xfId="10" applyNumberFormat="1" applyFont="1" applyFill="1" applyBorder="1" applyAlignment="1" applyProtection="1">
      <alignment horizontal="center" vertical="center" wrapText="1"/>
      <protection locked="0"/>
    </xf>
    <xf numFmtId="10" fontId="78" fillId="2" borderId="7" xfId="10" applyNumberFormat="1" applyFont="1" applyFill="1" applyBorder="1" applyAlignment="1" applyProtection="1">
      <alignment horizontal="center" vertical="center" wrapText="1"/>
      <protection locked="0"/>
    </xf>
    <xf numFmtId="49" fontId="79" fillId="12" borderId="8" xfId="10" applyNumberFormat="1" applyFont="1" applyFill="1" applyBorder="1" applyAlignment="1" applyProtection="1">
      <alignment horizontal="center" vertical="center" wrapText="1"/>
      <protection locked="0"/>
    </xf>
    <xf numFmtId="49" fontId="79" fillId="12" borderId="7" xfId="10" applyNumberFormat="1" applyFont="1" applyFill="1" applyBorder="1" applyAlignment="1" applyProtection="1">
      <alignment horizontal="center" vertical="center" wrapText="1"/>
      <protection locked="0"/>
    </xf>
    <xf numFmtId="49" fontId="79" fillId="12" borderId="5" xfId="10" applyNumberFormat="1" applyFont="1" applyFill="1" applyBorder="1" applyAlignment="1" applyProtection="1">
      <alignment horizontal="center" vertical="center" wrapText="1"/>
      <protection locked="0"/>
    </xf>
    <xf numFmtId="0" fontId="79" fillId="0" borderId="7" xfId="10" applyNumberFormat="1" applyFont="1" applyFill="1" applyBorder="1" applyAlignment="1" applyProtection="1">
      <alignment horizontal="center" vertical="center" wrapText="1"/>
      <protection locked="0"/>
    </xf>
    <xf numFmtId="10" fontId="79" fillId="0" borderId="7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8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21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82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83" xfId="10" applyNumberFormat="1" applyFont="1" applyFill="1" applyBorder="1" applyAlignment="1" applyProtection="1">
      <alignment horizontal="left" vertical="center" wrapText="1"/>
      <protection locked="0"/>
    </xf>
    <xf numFmtId="3" fontId="79" fillId="10" borderId="21" xfId="10" applyNumberFormat="1" applyFont="1" applyFill="1" applyBorder="1" applyAlignment="1" applyProtection="1">
      <alignment horizontal="right" vertical="center"/>
      <protection locked="0"/>
    </xf>
    <xf numFmtId="10" fontId="79" fillId="10" borderId="21" xfId="10" applyNumberFormat="1" applyFont="1" applyFill="1" applyBorder="1" applyAlignment="1" applyProtection="1">
      <alignment horizontal="right" vertical="center"/>
      <protection locked="0"/>
    </xf>
    <xf numFmtId="49" fontId="75" fillId="12" borderId="10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84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85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86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84" xfId="10" applyNumberFormat="1" applyFont="1" applyFill="1" applyBorder="1" applyAlignment="1" applyProtection="1">
      <alignment horizontal="right" vertical="center"/>
      <protection locked="0"/>
    </xf>
    <xf numFmtId="10" fontId="80" fillId="6" borderId="84" xfId="10" applyNumberFormat="1" applyFont="1" applyFill="1" applyBorder="1" applyAlignment="1" applyProtection="1">
      <alignment horizontal="right" vertical="center"/>
      <protection locked="0"/>
    </xf>
    <xf numFmtId="3" fontId="79" fillId="0" borderId="88" xfId="10" applyNumberFormat="1" applyFont="1" applyFill="1" applyBorder="1" applyAlignment="1" applyProtection="1">
      <alignment horizontal="right" vertical="center"/>
      <protection locked="0"/>
    </xf>
    <xf numFmtId="10" fontId="79" fillId="0" borderId="88" xfId="10" applyNumberFormat="1" applyFont="1" applyFill="1" applyBorder="1" applyAlignment="1" applyProtection="1">
      <alignment horizontal="right" vertical="center"/>
      <protection locked="0"/>
    </xf>
    <xf numFmtId="3" fontId="75" fillId="0" borderId="44" xfId="10" applyNumberFormat="1" applyFont="1" applyFill="1" applyBorder="1" applyAlignment="1" applyProtection="1">
      <alignment vertical="center"/>
      <protection locked="0"/>
    </xf>
    <xf numFmtId="10" fontId="75" fillId="0" borderId="44" xfId="10" applyNumberFormat="1" applyFont="1" applyFill="1" applyBorder="1" applyAlignment="1" applyProtection="1">
      <alignment vertical="center"/>
      <protection locked="0"/>
    </xf>
    <xf numFmtId="3" fontId="81" fillId="0" borderId="44" xfId="10" applyNumberFormat="1" applyFont="1" applyFill="1" applyBorder="1" applyAlignment="1" applyProtection="1">
      <alignment horizontal="right" vertical="center"/>
      <protection locked="0"/>
    </xf>
    <xf numFmtId="10" fontId="81" fillId="0" borderId="44" xfId="10" applyNumberFormat="1" applyFont="1" applyFill="1" applyBorder="1" applyAlignment="1" applyProtection="1">
      <alignment horizontal="right" vertical="center"/>
      <protection locked="0"/>
    </xf>
    <xf numFmtId="49" fontId="75" fillId="12" borderId="1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9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91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44" xfId="10" applyNumberFormat="1" applyFont="1" applyFill="1" applyBorder="1" applyAlignment="1" applyProtection="1">
      <alignment horizontal="right" vertical="center"/>
      <protection locked="0"/>
    </xf>
    <xf numFmtId="10" fontId="75" fillId="0" borderId="44" xfId="10" applyNumberFormat="1" applyFont="1" applyFill="1" applyBorder="1" applyAlignment="1" applyProtection="1">
      <alignment horizontal="right" vertical="center"/>
      <protection locked="0"/>
    </xf>
    <xf numFmtId="49" fontId="75" fillId="12" borderId="89" xfId="10" applyNumberFormat="1" applyFont="1" applyFill="1" applyBorder="1" applyAlignment="1" applyProtection="1">
      <alignment vertical="center" wrapText="1"/>
      <protection locked="0"/>
    </xf>
    <xf numFmtId="49" fontId="75" fillId="12" borderId="1" xfId="10" applyNumberFormat="1" applyFont="1" applyFill="1" applyBorder="1" applyAlignment="1" applyProtection="1">
      <alignment vertical="center" wrapText="1"/>
      <protection locked="0"/>
    </xf>
    <xf numFmtId="10" fontId="75" fillId="12" borderId="1" xfId="10" applyNumberFormat="1" applyFont="1" applyFill="1" applyBorder="1" applyAlignment="1" applyProtection="1">
      <alignment vertical="center" wrapText="1"/>
      <protection locked="0"/>
    </xf>
    <xf numFmtId="49" fontId="75" fillId="12" borderId="9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93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94" xfId="10" applyNumberFormat="1" applyFont="1" applyFill="1" applyBorder="1" applyAlignment="1" applyProtection="1">
      <alignment horizontal="right" vertical="center"/>
      <protection locked="0"/>
    </xf>
    <xf numFmtId="10" fontId="75" fillId="0" borderId="94" xfId="10" applyNumberFormat="1" applyFont="1" applyFill="1" applyBorder="1" applyAlignment="1" applyProtection="1">
      <alignment horizontal="right" vertical="center"/>
      <protection locked="0"/>
    </xf>
    <xf numFmtId="3" fontId="75" fillId="0" borderId="1" xfId="10" applyNumberFormat="1" applyFont="1" applyFill="1" applyBorder="1" applyAlignment="1" applyProtection="1">
      <alignment horizontal="right" vertical="center"/>
      <protection locked="0"/>
    </xf>
    <xf numFmtId="10" fontId="75" fillId="0" borderId="1" xfId="10" applyNumberFormat="1" applyFont="1" applyFill="1" applyBorder="1" applyAlignment="1" applyProtection="1">
      <alignment horizontal="right" vertical="center"/>
      <protection locked="0"/>
    </xf>
    <xf numFmtId="3" fontId="79" fillId="0" borderId="94" xfId="10" applyNumberFormat="1" applyFont="1" applyFill="1" applyBorder="1" applyAlignment="1" applyProtection="1">
      <alignment horizontal="right" vertical="center"/>
      <protection locked="0"/>
    </xf>
    <xf numFmtId="10" fontId="79" fillId="0" borderId="94" xfId="10" applyNumberFormat="1" applyFont="1" applyFill="1" applyBorder="1" applyAlignment="1" applyProtection="1">
      <alignment horizontal="right" vertical="center"/>
      <protection locked="0"/>
    </xf>
    <xf numFmtId="3" fontId="75" fillId="0" borderId="98" xfId="10" applyNumberFormat="1" applyFont="1" applyFill="1" applyBorder="1" applyAlignment="1" applyProtection="1">
      <alignment horizontal="right" vertical="center"/>
      <protection locked="0"/>
    </xf>
    <xf numFmtId="10" fontId="75" fillId="0" borderId="98" xfId="10" applyNumberFormat="1" applyFont="1" applyFill="1" applyBorder="1" applyAlignment="1" applyProtection="1">
      <alignment horizontal="right" vertical="center"/>
      <protection locked="0"/>
    </xf>
    <xf numFmtId="49" fontId="75" fillId="12" borderId="9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00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01" xfId="10" applyNumberFormat="1" applyFont="1" applyFill="1" applyBorder="1" applyAlignment="1" applyProtection="1">
      <alignment horizontal="right" vertical="center"/>
      <protection locked="0"/>
    </xf>
    <xf numFmtId="10" fontId="75" fillId="0" borderId="101" xfId="10" applyNumberFormat="1" applyFont="1" applyFill="1" applyBorder="1" applyAlignment="1" applyProtection="1">
      <alignment horizontal="right" vertical="center"/>
      <protection locked="0"/>
    </xf>
    <xf numFmtId="3" fontId="80" fillId="6" borderId="102" xfId="10" applyNumberFormat="1" applyFont="1" applyFill="1" applyBorder="1" applyAlignment="1" applyProtection="1">
      <alignment horizontal="right" vertical="center"/>
      <protection locked="0"/>
    </xf>
    <xf numFmtId="10" fontId="80" fillId="6" borderId="102" xfId="10" applyNumberFormat="1" applyFont="1" applyFill="1" applyBorder="1" applyAlignment="1" applyProtection="1">
      <alignment horizontal="right" vertical="center"/>
      <protection locked="0"/>
    </xf>
    <xf numFmtId="49" fontId="75" fillId="0" borderId="1" xfId="10" applyNumberFormat="1" applyFont="1" applyFill="1" applyBorder="1" applyAlignment="1" applyProtection="1">
      <alignment horizontal="center" vertical="center" wrapText="1"/>
      <protection locked="0"/>
    </xf>
    <xf numFmtId="3" fontId="81" fillId="0" borderId="98" xfId="10" applyNumberFormat="1" applyFont="1" applyFill="1" applyBorder="1" applyAlignment="1" applyProtection="1">
      <alignment horizontal="right" vertical="center"/>
      <protection locked="0"/>
    </xf>
    <xf numFmtId="10" fontId="81" fillId="0" borderId="98" xfId="10" applyNumberFormat="1" applyFont="1" applyFill="1" applyBorder="1" applyAlignment="1" applyProtection="1">
      <alignment horizontal="right" vertical="center"/>
      <protection locked="0"/>
    </xf>
    <xf numFmtId="49" fontId="75" fillId="12" borderId="10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04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0" xfId="10" applyNumberFormat="1" applyFont="1" applyFill="1" applyBorder="1" applyAlignment="1" applyProtection="1">
      <alignment vertical="center" wrapText="1"/>
      <protection locked="0"/>
    </xf>
    <xf numFmtId="49" fontId="75" fillId="12" borderId="98" xfId="10" applyNumberFormat="1" applyFont="1" applyFill="1" applyBorder="1" applyAlignment="1" applyProtection="1">
      <alignment vertical="center" wrapText="1"/>
      <protection locked="0"/>
    </xf>
    <xf numFmtId="10" fontId="75" fillId="12" borderId="98" xfId="10" applyNumberFormat="1" applyFont="1" applyFill="1" applyBorder="1" applyAlignment="1" applyProtection="1">
      <alignment vertical="center" wrapText="1"/>
      <protection locked="0"/>
    </xf>
    <xf numFmtId="49" fontId="75" fillId="12" borderId="105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06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88" xfId="10" applyNumberFormat="1" applyFont="1" applyFill="1" applyBorder="1" applyAlignment="1" applyProtection="1">
      <alignment horizontal="right" vertical="center"/>
      <protection locked="0"/>
    </xf>
    <xf numFmtId="10" fontId="75" fillId="0" borderId="88" xfId="10" applyNumberFormat="1" applyFont="1" applyFill="1" applyBorder="1" applyAlignment="1" applyProtection="1">
      <alignment horizontal="right" vertical="center"/>
      <protection locked="0"/>
    </xf>
    <xf numFmtId="49" fontId="75" fillId="12" borderId="10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0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0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10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12" xfId="10" applyNumberFormat="1" applyFont="1" applyFill="1" applyBorder="1" applyAlignment="1" applyProtection="1">
      <alignment horizontal="right" vertical="center"/>
      <protection locked="0"/>
    </xf>
    <xf numFmtId="10" fontId="75" fillId="0" borderId="112" xfId="10" applyNumberFormat="1" applyFont="1" applyFill="1" applyBorder="1" applyAlignment="1" applyProtection="1">
      <alignment horizontal="right" vertical="center"/>
      <protection locked="0"/>
    </xf>
    <xf numFmtId="49" fontId="75" fillId="12" borderId="11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14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115" xfId="10" applyNumberFormat="1" applyFont="1" applyFill="1" applyBorder="1" applyAlignment="1" applyProtection="1">
      <alignment horizontal="right" vertical="center"/>
      <protection locked="0"/>
    </xf>
    <xf numFmtId="10" fontId="80" fillId="6" borderId="115" xfId="10" applyNumberFormat="1" applyFont="1" applyFill="1" applyBorder="1" applyAlignment="1" applyProtection="1">
      <alignment horizontal="right" vertical="center"/>
      <protection locked="0"/>
    </xf>
    <xf numFmtId="3" fontId="81" fillId="0" borderId="94" xfId="10" applyNumberFormat="1" applyFont="1" applyFill="1" applyBorder="1" applyAlignment="1" applyProtection="1">
      <alignment horizontal="right" vertical="center"/>
      <protection locked="0"/>
    </xf>
    <xf numFmtId="10" fontId="81" fillId="0" borderId="94" xfId="1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vertical="center"/>
    </xf>
    <xf numFmtId="49" fontId="75" fillId="12" borderId="11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12" xfId="10" applyNumberFormat="1" applyFont="1" applyFill="1" applyBorder="1" applyAlignment="1" applyProtection="1">
      <alignment vertical="center" wrapText="1"/>
      <protection locked="0"/>
    </xf>
    <xf numFmtId="10" fontId="75" fillId="12" borderId="112" xfId="10" applyNumberFormat="1" applyFont="1" applyFill="1" applyBorder="1" applyAlignment="1" applyProtection="1">
      <alignment vertical="center" wrapText="1"/>
      <protection locked="0"/>
    </xf>
    <xf numFmtId="3" fontId="75" fillId="12" borderId="1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1" xfId="10" applyNumberFormat="1" applyFont="1" applyFill="1" applyBorder="1" applyAlignment="1" applyProtection="1">
      <alignment horizontal="right" vertical="center" wrapText="1"/>
      <protection locked="0"/>
    </xf>
    <xf numFmtId="49" fontId="75" fillId="12" borderId="12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21" xfId="10" applyNumberFormat="1" applyFont="1" applyFill="1" applyBorder="1" applyAlignment="1" applyProtection="1">
      <alignment horizontal="left" vertical="center" wrapText="1"/>
      <protection locked="0"/>
    </xf>
    <xf numFmtId="3" fontId="75" fillId="12" borderId="112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112" xfId="10" applyNumberFormat="1" applyFont="1" applyFill="1" applyBorder="1" applyAlignment="1" applyProtection="1">
      <alignment horizontal="right" vertical="center" wrapText="1"/>
      <protection locked="0"/>
    </xf>
    <xf numFmtId="49" fontId="75" fillId="12" borderId="87" xfId="10" applyNumberFormat="1" applyFont="1" applyFill="1" applyBorder="1" applyAlignment="1" applyProtection="1">
      <alignment vertical="center" wrapText="1"/>
      <protection locked="0"/>
    </xf>
    <xf numFmtId="49" fontId="75" fillId="12" borderId="122" xfId="10" applyNumberFormat="1" applyFont="1" applyFill="1" applyBorder="1" applyAlignment="1" applyProtection="1">
      <alignment vertical="center" wrapText="1"/>
      <protection locked="0"/>
    </xf>
    <xf numFmtId="10" fontId="75" fillId="12" borderId="122" xfId="10" applyNumberFormat="1" applyFont="1" applyFill="1" applyBorder="1" applyAlignment="1" applyProtection="1">
      <alignment vertical="center" wrapText="1"/>
      <protection locked="0"/>
    </xf>
    <xf numFmtId="49" fontId="75" fillId="12" borderId="12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24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25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26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27" xfId="10" applyNumberFormat="1" applyFont="1" applyFill="1" applyBorder="1" applyAlignment="1" applyProtection="1">
      <alignment horizontal="center" vertical="center" wrapText="1"/>
      <protection locked="0"/>
    </xf>
    <xf numFmtId="0" fontId="29" fillId="0" borderId="128" xfId="0" applyFont="1" applyBorder="1" applyAlignment="1">
      <alignment horizontal="left" vertical="center" wrapText="1"/>
    </xf>
    <xf numFmtId="49" fontId="80" fillId="15" borderId="129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30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131" xfId="10" applyNumberFormat="1" applyFont="1" applyFill="1" applyBorder="1" applyAlignment="1" applyProtection="1">
      <alignment horizontal="right" vertical="center"/>
      <protection locked="0"/>
    </xf>
    <xf numFmtId="10" fontId="80" fillId="6" borderId="131" xfId="10" applyNumberFormat="1" applyFont="1" applyFill="1" applyBorder="1" applyAlignment="1" applyProtection="1">
      <alignment horizontal="right" vertical="center"/>
      <protection locked="0"/>
    </xf>
    <xf numFmtId="49" fontId="75" fillId="0" borderId="132" xfId="10" applyNumberFormat="1" applyFont="1" applyFill="1" applyBorder="1" applyAlignment="1" applyProtection="1">
      <alignment horizontal="center" vertical="center" wrapText="1"/>
      <protection locked="0"/>
    </xf>
    <xf numFmtId="2" fontId="75" fillId="0" borderId="87" xfId="10" applyNumberFormat="1" applyFont="1" applyFill="1" applyBorder="1" applyAlignment="1" applyProtection="1">
      <alignment horizontal="left" vertical="center" wrapText="1"/>
      <protection locked="0"/>
    </xf>
    <xf numFmtId="49" fontId="80" fillId="15" borderId="7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33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34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7" xfId="10" applyNumberFormat="1" applyFont="1" applyFill="1" applyBorder="1" applyAlignment="1" applyProtection="1">
      <alignment horizontal="right" vertical="center"/>
      <protection locked="0"/>
    </xf>
    <xf numFmtId="10" fontId="80" fillId="6" borderId="7" xfId="10" applyNumberFormat="1" applyFont="1" applyFill="1" applyBorder="1" applyAlignment="1" applyProtection="1">
      <alignment horizontal="right" vertical="center"/>
      <protection locked="0"/>
    </xf>
    <xf numFmtId="49" fontId="75" fillId="0" borderId="1" xfId="10" applyNumberFormat="1" applyFont="1" applyFill="1" applyBorder="1" applyAlignment="1" applyProtection="1">
      <alignment vertical="center" wrapText="1"/>
      <protection locked="0"/>
    </xf>
    <xf numFmtId="49" fontId="75" fillId="12" borderId="136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28" xfId="10" applyNumberFormat="1" applyFont="1" applyFill="1" applyBorder="1" applyAlignment="1" applyProtection="1">
      <alignment horizontal="left" vertical="center" wrapText="1"/>
      <protection locked="0"/>
    </xf>
    <xf numFmtId="49" fontId="80" fillId="15" borderId="137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38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39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137" xfId="10" applyNumberFormat="1" applyFont="1" applyFill="1" applyBorder="1" applyAlignment="1" applyProtection="1">
      <alignment horizontal="right" vertical="center"/>
      <protection locked="0"/>
    </xf>
    <xf numFmtId="10" fontId="80" fillId="6" borderId="137" xfId="10" applyNumberFormat="1" applyFont="1" applyFill="1" applyBorder="1" applyAlignment="1" applyProtection="1">
      <alignment horizontal="right" vertical="center"/>
      <protection locked="0"/>
    </xf>
    <xf numFmtId="49" fontId="75" fillId="0" borderId="103" xfId="10" applyNumberFormat="1" applyFont="1" applyFill="1" applyBorder="1" applyAlignment="1" applyProtection="1">
      <alignment horizontal="center" vertical="center" wrapText="1"/>
      <protection locked="0"/>
    </xf>
    <xf numFmtId="0" fontId="29" fillId="0" borderId="104" xfId="0" applyFont="1" applyBorder="1" applyAlignment="1">
      <alignment vertical="center" wrapText="1"/>
    </xf>
    <xf numFmtId="49" fontId="75" fillId="0" borderId="140" xfId="10" applyNumberFormat="1" applyFont="1" applyFill="1" applyBorder="1" applyAlignment="1" applyProtection="1">
      <alignment horizontal="center" vertical="center" wrapText="1"/>
      <protection locked="0"/>
    </xf>
    <xf numFmtId="0" fontId="29" fillId="0" borderId="97" xfId="0" applyFont="1" applyBorder="1" applyAlignment="1">
      <alignment vertical="center" wrapText="1"/>
    </xf>
    <xf numFmtId="49" fontId="75" fillId="12" borderId="14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97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97" xfId="10" applyNumberFormat="1" applyFont="1" applyFill="1" applyBorder="1" applyAlignment="1" applyProtection="1">
      <alignment vertical="center" wrapText="1"/>
      <protection locked="0"/>
    </xf>
    <xf numFmtId="49" fontId="75" fillId="12" borderId="142" xfId="10" applyNumberFormat="1" applyFont="1" applyFill="1" applyBorder="1" applyAlignment="1" applyProtection="1">
      <alignment vertical="center" wrapText="1"/>
      <protection locked="0"/>
    </xf>
    <xf numFmtId="10" fontId="75" fillId="12" borderId="142" xfId="10" applyNumberFormat="1" applyFont="1" applyFill="1" applyBorder="1" applyAlignment="1" applyProtection="1">
      <alignment vertical="center" wrapText="1"/>
      <protection locked="0"/>
    </xf>
    <xf numFmtId="49" fontId="75" fillId="12" borderId="14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44" xfId="10" applyNumberFormat="1" applyFont="1" applyFill="1" applyBorder="1" applyAlignment="1" applyProtection="1">
      <alignment horizontal="left" vertical="center" wrapText="1"/>
      <protection locked="0"/>
    </xf>
    <xf numFmtId="49" fontId="79" fillId="14" borderId="7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133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134" xfId="10" applyNumberFormat="1" applyFont="1" applyFill="1" applyBorder="1" applyAlignment="1" applyProtection="1">
      <alignment horizontal="left" vertical="center" wrapText="1"/>
      <protection locked="0"/>
    </xf>
    <xf numFmtId="3" fontId="79" fillId="10" borderId="7" xfId="10" applyNumberFormat="1" applyFont="1" applyFill="1" applyBorder="1" applyAlignment="1" applyProtection="1">
      <alignment horizontal="right" vertical="center"/>
      <protection locked="0"/>
    </xf>
    <xf numFmtId="10" fontId="79" fillId="10" borderId="7" xfId="10" applyNumberFormat="1" applyFont="1" applyFill="1" applyBorder="1" applyAlignment="1" applyProtection="1">
      <alignment horizontal="right" vertical="center"/>
      <protection locked="0"/>
    </xf>
    <xf numFmtId="49" fontId="80" fillId="15" borderId="122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20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21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88" xfId="10" applyNumberFormat="1" applyFont="1" applyFill="1" applyBorder="1" applyAlignment="1" applyProtection="1">
      <alignment horizontal="right" vertical="center"/>
      <protection locked="0"/>
    </xf>
    <xf numFmtId="10" fontId="80" fillId="6" borderId="88" xfId="10" applyNumberFormat="1" applyFont="1" applyFill="1" applyBorder="1" applyAlignment="1" applyProtection="1">
      <alignment horizontal="right" vertical="center"/>
      <protection locked="0"/>
    </xf>
    <xf numFmtId="49" fontId="75" fillId="0" borderId="97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46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47" xfId="10" applyNumberFormat="1" applyFont="1" applyFill="1" applyBorder="1" applyAlignment="1" applyProtection="1">
      <alignment horizontal="left" vertical="center" wrapText="1"/>
      <protection locked="0"/>
    </xf>
    <xf numFmtId="49" fontId="79" fillId="14" borderId="148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149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50" xfId="10" applyNumberFormat="1" applyFont="1" applyFill="1" applyBorder="1" applyAlignment="1" applyProtection="1">
      <alignment horizontal="right" vertical="center"/>
      <protection locked="0"/>
    </xf>
    <xf numFmtId="10" fontId="75" fillId="0" borderId="150" xfId="10" applyNumberFormat="1" applyFont="1" applyFill="1" applyBorder="1" applyAlignment="1" applyProtection="1">
      <alignment horizontal="right" vertical="center"/>
      <protection locked="0"/>
    </xf>
    <xf numFmtId="3" fontId="75" fillId="0" borderId="151" xfId="10" applyNumberFormat="1" applyFont="1" applyFill="1" applyBorder="1" applyAlignment="1" applyProtection="1">
      <alignment horizontal="right" vertical="center"/>
      <protection locked="0"/>
    </xf>
    <xf numFmtId="10" fontId="75" fillId="0" borderId="151" xfId="10" applyNumberFormat="1" applyFont="1" applyFill="1" applyBorder="1" applyAlignment="1" applyProtection="1">
      <alignment horizontal="right" vertical="center"/>
      <protection locked="0"/>
    </xf>
    <xf numFmtId="49" fontId="75" fillId="12" borderId="61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75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51" xfId="10" applyNumberFormat="1" applyFont="1" applyFill="1" applyBorder="1" applyAlignment="1" applyProtection="1">
      <alignment horizontal="right" vertical="center"/>
      <protection locked="0"/>
    </xf>
    <xf numFmtId="10" fontId="75" fillId="0" borderId="51" xfId="10" applyNumberFormat="1" applyFont="1" applyFill="1" applyBorder="1" applyAlignment="1" applyProtection="1">
      <alignment horizontal="right" vertical="center"/>
      <protection locked="0"/>
    </xf>
    <xf numFmtId="49" fontId="75" fillId="12" borderId="15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19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18" xfId="10" applyNumberFormat="1" applyFont="1" applyFill="1" applyBorder="1" applyAlignment="1" applyProtection="1">
      <alignment vertical="center" wrapText="1"/>
      <protection locked="0"/>
    </xf>
    <xf numFmtId="49" fontId="75" fillId="12" borderId="50" xfId="10" applyNumberFormat="1" applyFont="1" applyFill="1" applyBorder="1" applyAlignment="1" applyProtection="1">
      <alignment vertical="center" wrapText="1"/>
      <protection locked="0"/>
    </xf>
    <xf numFmtId="3" fontId="75" fillId="12" borderId="88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88" xfId="10" applyNumberFormat="1" applyFont="1" applyFill="1" applyBorder="1" applyAlignment="1" applyProtection="1">
      <alignment horizontal="right" vertical="center" wrapText="1"/>
      <protection locked="0"/>
    </xf>
    <xf numFmtId="3" fontId="75" fillId="12" borderId="94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94" xfId="10" applyNumberFormat="1" applyFont="1" applyFill="1" applyBorder="1" applyAlignment="1" applyProtection="1">
      <alignment horizontal="right" vertical="center" wrapText="1"/>
      <protection locked="0"/>
    </xf>
    <xf numFmtId="49" fontId="75" fillId="12" borderId="122" xfId="10" applyNumberFormat="1" applyFont="1" applyFill="1" applyBorder="1" applyAlignment="1" applyProtection="1">
      <alignment horizontal="center" vertical="center" wrapText="1"/>
      <protection locked="0"/>
    </xf>
    <xf numFmtId="10" fontId="75" fillId="12" borderId="12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32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42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03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104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94" xfId="10" applyNumberFormat="1" applyFont="1" applyFill="1" applyBorder="1" applyAlignment="1" applyProtection="1">
      <alignment horizontal="right" vertical="center"/>
      <protection locked="0"/>
    </xf>
    <xf numFmtId="10" fontId="80" fillId="6" borderId="94" xfId="10" applyNumberFormat="1" applyFont="1" applyFill="1" applyBorder="1" applyAlignment="1" applyProtection="1">
      <alignment horizontal="right" vertical="center"/>
      <protection locked="0"/>
    </xf>
    <xf numFmtId="49" fontId="75" fillId="12" borderId="9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5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3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5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55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56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57" xfId="10" applyNumberFormat="1" applyFont="1" applyFill="1" applyBorder="1" applyAlignment="1" applyProtection="1">
      <alignment vertical="center" wrapText="1"/>
      <protection locked="0"/>
    </xf>
    <xf numFmtId="49" fontId="75" fillId="12" borderId="158" xfId="10" applyNumberFormat="1" applyFont="1" applyFill="1" applyBorder="1" applyAlignment="1" applyProtection="1">
      <alignment vertical="center" wrapText="1"/>
      <protection locked="0"/>
    </xf>
    <xf numFmtId="49" fontId="75" fillId="12" borderId="88" xfId="10" applyNumberFormat="1" applyFont="1" applyFill="1" applyBorder="1" applyAlignment="1" applyProtection="1">
      <alignment vertical="center" wrapText="1"/>
      <protection locked="0"/>
    </xf>
    <xf numFmtId="10" fontId="75" fillId="12" borderId="88" xfId="10" applyNumberFormat="1" applyFont="1" applyFill="1" applyBorder="1" applyAlignment="1" applyProtection="1">
      <alignment vertical="center" wrapText="1"/>
      <protection locked="0"/>
    </xf>
    <xf numFmtId="49" fontId="80" fillId="16" borderId="1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79" fillId="6" borderId="7" xfId="10" applyNumberFormat="1" applyFont="1" applyFill="1" applyBorder="1" applyAlignment="1" applyProtection="1">
      <alignment horizontal="right" vertical="center"/>
      <protection locked="0"/>
    </xf>
    <xf numFmtId="10" fontId="79" fillId="6" borderId="7" xfId="10" applyNumberFormat="1" applyFont="1" applyFill="1" applyBorder="1" applyAlignment="1" applyProtection="1">
      <alignment horizontal="right" vertical="center"/>
      <protection locked="0"/>
    </xf>
    <xf numFmtId="3" fontId="75" fillId="0" borderId="150" xfId="10" applyNumberFormat="1" applyFont="1" applyFill="1" applyBorder="1" applyAlignment="1" applyProtection="1">
      <alignment horizontal="right" vertical="center" wrapText="1"/>
      <protection locked="0"/>
    </xf>
    <xf numFmtId="10" fontId="75" fillId="0" borderId="150" xfId="10" applyNumberFormat="1" applyFont="1" applyFill="1" applyBorder="1" applyAlignment="1" applyProtection="1">
      <alignment horizontal="right" vertical="center" wrapText="1"/>
      <protection locked="0"/>
    </xf>
    <xf numFmtId="49" fontId="75" fillId="12" borderId="15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6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61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62" xfId="10" applyNumberFormat="1" applyFont="1" applyFill="1" applyBorder="1" applyAlignment="1" applyProtection="1">
      <alignment horizontal="left" vertical="center" wrapText="1"/>
      <protection locked="0"/>
    </xf>
    <xf numFmtId="3" fontId="81" fillId="0" borderId="88" xfId="10" applyNumberFormat="1" applyFont="1" applyFill="1" applyBorder="1" applyAlignment="1" applyProtection="1">
      <alignment horizontal="right" vertical="center"/>
      <protection locked="0"/>
    </xf>
    <xf numFmtId="10" fontId="81" fillId="0" borderId="88" xfId="10" applyNumberFormat="1" applyFont="1" applyFill="1" applyBorder="1" applyAlignment="1" applyProtection="1">
      <alignment horizontal="right" vertical="center"/>
      <protection locked="0"/>
    </xf>
    <xf numFmtId="49" fontId="75" fillId="12" borderId="163" xfId="10" applyNumberFormat="1" applyFont="1" applyFill="1" applyBorder="1" applyAlignment="1" applyProtection="1">
      <alignment vertical="center" wrapText="1"/>
      <protection locked="0"/>
    </xf>
    <xf numFmtId="49" fontId="75" fillId="12" borderId="126" xfId="10" applyNumberFormat="1" applyFont="1" applyFill="1" applyBorder="1" applyAlignment="1" applyProtection="1">
      <alignment vertical="center" wrapText="1"/>
      <protection locked="0"/>
    </xf>
    <xf numFmtId="49" fontId="75" fillId="12" borderId="94" xfId="10" applyNumberFormat="1" applyFont="1" applyFill="1" applyBorder="1" applyAlignment="1" applyProtection="1">
      <alignment vertical="center" wrapText="1"/>
      <protection locked="0"/>
    </xf>
    <xf numFmtId="10" fontId="75" fillId="12" borderId="94" xfId="10" applyNumberFormat="1" applyFont="1" applyFill="1" applyBorder="1" applyAlignment="1" applyProtection="1">
      <alignment vertical="center" wrapText="1"/>
      <protection locked="0"/>
    </xf>
    <xf numFmtId="49" fontId="75" fillId="12" borderId="16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58" xfId="10" applyNumberFormat="1" applyFont="1" applyFill="1" applyBorder="1" applyAlignment="1" applyProtection="1">
      <alignment horizontal="left" vertical="center" wrapText="1"/>
      <protection locked="0"/>
    </xf>
    <xf numFmtId="4" fontId="75" fillId="0" borderId="10" xfId="10" applyNumberFormat="1" applyFont="1" applyFill="1" applyBorder="1" applyAlignment="1" applyProtection="1">
      <alignment horizontal="left" vertical="center"/>
      <protection locked="0"/>
    </xf>
    <xf numFmtId="0" fontId="29" fillId="0" borderId="104" xfId="0" applyFont="1" applyBorder="1" applyAlignment="1">
      <alignment horizontal="left" vertical="center" wrapText="1"/>
    </xf>
    <xf numFmtId="3" fontId="79" fillId="3" borderId="16" xfId="10" applyNumberFormat="1" applyFont="1" applyFill="1" applyBorder="1" applyAlignment="1" applyProtection="1">
      <alignment horizontal="right" vertical="center"/>
      <protection locked="0"/>
    </xf>
    <xf numFmtId="10" fontId="79" fillId="3" borderId="16" xfId="10" applyNumberFormat="1" applyFont="1" applyFill="1" applyBorder="1" applyAlignment="1" applyProtection="1">
      <alignment horizontal="right" vertical="center"/>
      <protection locked="0"/>
    </xf>
    <xf numFmtId="3" fontId="75" fillId="3" borderId="94" xfId="10" applyNumberFormat="1" applyFont="1" applyFill="1" applyBorder="1" applyAlignment="1" applyProtection="1">
      <alignment horizontal="right" vertical="center"/>
      <protection locked="0"/>
    </xf>
    <xf numFmtId="10" fontId="75" fillId="3" borderId="94" xfId="10" applyNumberFormat="1" applyFont="1" applyFill="1" applyBorder="1" applyAlignment="1" applyProtection="1">
      <alignment horizontal="right" vertical="center"/>
      <protection locked="0"/>
    </xf>
    <xf numFmtId="49" fontId="75" fillId="0" borderId="87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87" xfId="10" applyNumberFormat="1" applyFont="1" applyFill="1" applyBorder="1" applyAlignment="1" applyProtection="1">
      <alignment horizontal="left" vertical="center" wrapText="1"/>
      <protection locked="0"/>
    </xf>
    <xf numFmtId="3" fontId="80" fillId="3" borderId="94" xfId="10" applyNumberFormat="1" applyFont="1" applyFill="1" applyBorder="1" applyAlignment="1" applyProtection="1">
      <alignment horizontal="right" vertical="center"/>
      <protection locked="0"/>
    </xf>
    <xf numFmtId="10" fontId="80" fillId="3" borderId="94" xfId="10" applyNumberFormat="1" applyFont="1" applyFill="1" applyBorder="1" applyAlignment="1" applyProtection="1">
      <alignment horizontal="right" vertical="center"/>
      <protection locked="0"/>
    </xf>
    <xf numFmtId="3" fontId="79" fillId="6" borderId="137" xfId="10" applyNumberFormat="1" applyFont="1" applyFill="1" applyBorder="1" applyAlignment="1" applyProtection="1">
      <alignment horizontal="right" vertical="center"/>
      <protection locked="0"/>
    </xf>
    <xf numFmtId="10" fontId="79" fillId="6" borderId="137" xfId="10" applyNumberFormat="1" applyFont="1" applyFill="1" applyBorder="1" applyAlignment="1" applyProtection="1">
      <alignment horizontal="right" vertical="center"/>
      <protection locked="0"/>
    </xf>
    <xf numFmtId="49" fontId="75" fillId="12" borderId="116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6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65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66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6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68" xfId="10" applyNumberFormat="1" applyFont="1" applyFill="1" applyBorder="1" applyAlignment="1" applyProtection="1">
      <alignment horizontal="left" vertical="center" wrapText="1"/>
      <protection locked="0"/>
    </xf>
    <xf numFmtId="3" fontId="79" fillId="3" borderId="88" xfId="10" applyNumberFormat="1" applyFont="1" applyFill="1" applyBorder="1" applyAlignment="1" applyProtection="1">
      <alignment horizontal="right" vertical="center"/>
      <protection locked="0"/>
    </xf>
    <xf numFmtId="10" fontId="79" fillId="3" borderId="88" xfId="10" applyNumberFormat="1" applyFont="1" applyFill="1" applyBorder="1" applyAlignment="1" applyProtection="1">
      <alignment horizontal="right" vertical="center"/>
      <protection locked="0"/>
    </xf>
    <xf numFmtId="49" fontId="75" fillId="12" borderId="16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47" xfId="10" applyNumberFormat="1" applyFont="1" applyFill="1" applyBorder="1" applyAlignment="1" applyProtection="1">
      <alignment horizontal="center" vertical="center" wrapText="1"/>
      <protection locked="0"/>
    </xf>
    <xf numFmtId="3" fontId="75" fillId="3" borderId="151" xfId="10" applyNumberFormat="1" applyFont="1" applyFill="1" applyBorder="1" applyAlignment="1" applyProtection="1">
      <alignment horizontal="right" vertical="center"/>
      <protection locked="0"/>
    </xf>
    <xf numFmtId="10" fontId="75" fillId="3" borderId="151" xfId="10" applyNumberFormat="1" applyFont="1" applyFill="1" applyBorder="1" applyAlignment="1" applyProtection="1">
      <alignment horizontal="right" vertical="center"/>
      <protection locked="0"/>
    </xf>
    <xf numFmtId="49" fontId="75" fillId="12" borderId="31" xfId="10" applyNumberFormat="1" applyFont="1" applyFill="1" applyBorder="1" applyAlignment="1" applyProtection="1">
      <alignment horizontal="center" vertical="center" wrapText="1"/>
      <protection locked="0"/>
    </xf>
    <xf numFmtId="49" fontId="75" fillId="16" borderId="116" xfId="1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49" fontId="29" fillId="16" borderId="170" xfId="10" applyNumberFormat="1" applyFont="1" applyFill="1" applyBorder="1" applyAlignment="1" applyProtection="1">
      <alignment horizontal="center" vertical="center" wrapText="1"/>
      <protection locked="0"/>
    </xf>
    <xf numFmtId="49" fontId="29" fillId="16" borderId="14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71" xfId="10" applyNumberFormat="1" applyFont="1" applyFill="1" applyBorder="1" applyAlignment="1" applyProtection="1">
      <alignment horizontal="center" vertical="center" wrapText="1"/>
      <protection locked="0"/>
    </xf>
    <xf numFmtId="49" fontId="75" fillId="16" borderId="156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0" xfId="10" applyNumberFormat="1" applyFont="1" applyFill="1" applyBorder="1" applyAlignment="1" applyProtection="1">
      <alignment horizontal="center" vertical="center" wrapText="1"/>
      <protection locked="0"/>
    </xf>
    <xf numFmtId="49" fontId="75" fillId="16" borderId="0" xfId="10" applyNumberFormat="1" applyFont="1" applyFill="1" applyBorder="1" applyAlignment="1" applyProtection="1">
      <alignment horizontal="left" vertical="center" wrapText="1"/>
      <protection locked="0"/>
    </xf>
    <xf numFmtId="3" fontId="79" fillId="3" borderId="151" xfId="10" applyNumberFormat="1" applyFont="1" applyFill="1" applyBorder="1" applyAlignment="1" applyProtection="1">
      <alignment horizontal="right" vertical="center"/>
      <protection locked="0"/>
    </xf>
    <xf numFmtId="10" fontId="79" fillId="3" borderId="151" xfId="10" applyNumberFormat="1" applyFont="1" applyFill="1" applyBorder="1" applyAlignment="1" applyProtection="1">
      <alignment horizontal="right" vertical="center"/>
      <protection locked="0"/>
    </xf>
    <xf numFmtId="3" fontId="75" fillId="3" borderId="101" xfId="10" applyNumberFormat="1" applyFont="1" applyFill="1" applyBorder="1" applyAlignment="1" applyProtection="1">
      <alignment horizontal="right" vertical="center"/>
      <protection locked="0"/>
    </xf>
    <xf numFmtId="10" fontId="75" fillId="3" borderId="101" xfId="10" applyNumberFormat="1" applyFont="1" applyFill="1" applyBorder="1" applyAlignment="1" applyProtection="1">
      <alignment horizontal="right" vertical="center"/>
      <protection locked="0"/>
    </xf>
    <xf numFmtId="49" fontId="75" fillId="12" borderId="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57" xfId="10" applyNumberFormat="1" applyFont="1" applyFill="1" applyBorder="1" applyAlignment="1" applyProtection="1">
      <alignment horizontal="center" vertical="center" wrapText="1"/>
      <protection locked="0"/>
    </xf>
    <xf numFmtId="3" fontId="79" fillId="0" borderId="151" xfId="10" applyNumberFormat="1" applyFont="1" applyFill="1" applyBorder="1" applyAlignment="1" applyProtection="1">
      <alignment horizontal="right" vertical="center"/>
      <protection locked="0"/>
    </xf>
    <xf numFmtId="10" fontId="79" fillId="0" borderId="151" xfId="10" applyNumberFormat="1" applyFont="1" applyFill="1" applyBorder="1" applyAlignment="1" applyProtection="1">
      <alignment horizontal="right" vertical="center"/>
      <protection locked="0"/>
    </xf>
    <xf numFmtId="0" fontId="81" fillId="0" borderId="0" xfId="10" applyNumberFormat="1" applyFont="1" applyFill="1" applyBorder="1" applyAlignment="1" applyProtection="1">
      <alignment horizontal="left" vertical="center"/>
      <protection locked="0"/>
    </xf>
    <xf numFmtId="49" fontId="81" fillId="12" borderId="97" xfId="10" applyNumberFormat="1" applyFont="1" applyFill="1" applyBorder="1" applyAlignment="1" applyProtection="1">
      <alignment horizontal="left" vertical="center" wrapText="1"/>
      <protection locked="0"/>
    </xf>
    <xf numFmtId="3" fontId="79" fillId="0" borderId="145" xfId="10" applyNumberFormat="1" applyFont="1" applyFill="1" applyBorder="1" applyAlignment="1" applyProtection="1">
      <alignment horizontal="right" vertical="center"/>
      <protection locked="0"/>
    </xf>
    <xf numFmtId="10" fontId="79" fillId="0" borderId="145" xfId="10" applyNumberFormat="1" applyFont="1" applyFill="1" applyBorder="1" applyAlignment="1" applyProtection="1">
      <alignment horizontal="right" vertical="center"/>
      <protection locked="0"/>
    </xf>
    <xf numFmtId="3" fontId="75" fillId="0" borderId="142" xfId="10" applyNumberFormat="1" applyFont="1" applyFill="1" applyBorder="1" applyAlignment="1" applyProtection="1">
      <alignment horizontal="right" vertical="center"/>
      <protection locked="0"/>
    </xf>
    <xf numFmtId="10" fontId="75" fillId="0" borderId="142" xfId="10" applyNumberFormat="1" applyFont="1" applyFill="1" applyBorder="1" applyAlignment="1" applyProtection="1">
      <alignment horizontal="right" vertical="center"/>
      <protection locked="0"/>
    </xf>
    <xf numFmtId="2" fontId="75" fillId="0" borderId="128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73" xfId="10" applyNumberFormat="1" applyFont="1" applyFill="1" applyBorder="1" applyAlignment="1" applyProtection="1">
      <alignment horizontal="right" vertical="center"/>
      <protection locked="0"/>
    </xf>
    <xf numFmtId="10" fontId="75" fillId="0" borderId="173" xfId="10" applyNumberFormat="1" applyFont="1" applyFill="1" applyBorder="1" applyAlignment="1" applyProtection="1">
      <alignment horizontal="right" vertical="center"/>
      <protection locked="0"/>
    </xf>
    <xf numFmtId="2" fontId="75" fillId="0" borderId="106" xfId="10" applyNumberFormat="1" applyFont="1" applyFill="1" applyBorder="1" applyAlignment="1" applyProtection="1">
      <alignment horizontal="left" vertical="center" wrapText="1"/>
      <protection locked="0"/>
    </xf>
    <xf numFmtId="2" fontId="75" fillId="0" borderId="0" xfId="10" applyNumberFormat="1" applyFont="1" applyFill="1" applyBorder="1" applyAlignment="1" applyProtection="1">
      <alignment horizontal="left" vertical="center" wrapText="1"/>
      <protection locked="0"/>
    </xf>
    <xf numFmtId="2" fontId="75" fillId="0" borderId="174" xfId="10" applyNumberFormat="1" applyFont="1" applyFill="1" applyBorder="1" applyAlignment="1" applyProtection="1">
      <alignment horizontal="left" vertical="center" wrapText="1"/>
      <protection locked="0"/>
    </xf>
    <xf numFmtId="49" fontId="80" fillId="15" borderId="148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87" xfId="10" applyNumberFormat="1" applyFont="1" applyFill="1" applyBorder="1" applyAlignment="1" applyProtection="1">
      <alignment horizontal="center" vertical="center" wrapText="1"/>
      <protection locked="0"/>
    </xf>
    <xf numFmtId="3" fontId="81" fillId="0" borderId="142" xfId="10" applyNumberFormat="1" applyFont="1" applyFill="1" applyBorder="1" applyAlignment="1" applyProtection="1">
      <alignment horizontal="right" vertical="center"/>
      <protection locked="0"/>
    </xf>
    <xf numFmtId="3" fontId="75" fillId="0" borderId="145" xfId="10" applyNumberFormat="1" applyFont="1" applyFill="1" applyBorder="1" applyAlignment="1" applyProtection="1">
      <alignment horizontal="right" vertical="center"/>
      <protection locked="0"/>
    </xf>
    <xf numFmtId="49" fontId="79" fillId="16" borderId="10" xfId="10" applyNumberFormat="1" applyFont="1" applyFill="1" applyBorder="1" applyAlignment="1" applyProtection="1">
      <alignment horizontal="center" vertical="center" wrapText="1"/>
      <protection locked="0"/>
    </xf>
    <xf numFmtId="49" fontId="79" fillId="0" borderId="21" xfId="10" applyNumberFormat="1" applyFont="1" applyFill="1" applyBorder="1" applyAlignment="1" applyProtection="1">
      <alignment horizontal="center" vertical="center" wrapText="1"/>
      <protection locked="0"/>
    </xf>
    <xf numFmtId="3" fontId="79" fillId="3" borderId="21" xfId="10" applyNumberFormat="1" applyFont="1" applyFill="1" applyBorder="1" applyAlignment="1" applyProtection="1">
      <alignment horizontal="right" vertical="center"/>
      <protection locked="0"/>
    </xf>
    <xf numFmtId="10" fontId="79" fillId="3" borderId="21" xfId="10" applyNumberFormat="1" applyFont="1" applyFill="1" applyBorder="1" applyAlignment="1" applyProtection="1">
      <alignment horizontal="right" vertical="center"/>
      <protection locked="0"/>
    </xf>
    <xf numFmtId="49" fontId="79" fillId="0" borderId="1" xfId="10" applyNumberFormat="1" applyFont="1" applyFill="1" applyBorder="1" applyAlignment="1" applyProtection="1">
      <alignment horizontal="center" vertical="center" wrapText="1"/>
      <protection locked="0"/>
    </xf>
    <xf numFmtId="49" fontId="79" fillId="0" borderId="137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67" xfId="10" applyNumberFormat="1" applyFont="1" applyFill="1" applyBorder="1" applyAlignment="1" applyProtection="1">
      <alignment horizontal="center" vertical="center" wrapText="1"/>
      <protection locked="0"/>
    </xf>
    <xf numFmtId="49" fontId="75" fillId="16" borderId="10" xfId="10" applyNumberFormat="1" applyFont="1" applyFill="1" applyBorder="1" applyAlignment="1" applyProtection="1">
      <alignment horizontal="center" vertical="center" wrapText="1"/>
      <protection locked="0"/>
    </xf>
    <xf numFmtId="3" fontId="79" fillId="0" borderId="94" xfId="10" applyNumberFormat="1" applyFont="1" applyFill="1" applyBorder="1" applyAlignment="1" applyProtection="1">
      <alignment vertical="center"/>
      <protection locked="0"/>
    </xf>
    <xf numFmtId="10" fontId="79" fillId="0" borderId="94" xfId="10" applyNumberFormat="1" applyFont="1" applyFill="1" applyBorder="1" applyAlignment="1" applyProtection="1">
      <alignment vertical="center"/>
      <protection locked="0"/>
    </xf>
    <xf numFmtId="3" fontId="75" fillId="0" borderId="94" xfId="10" applyNumberFormat="1" applyFont="1" applyFill="1" applyBorder="1" applyAlignment="1" applyProtection="1">
      <alignment vertical="center"/>
      <protection locked="0"/>
    </xf>
    <xf numFmtId="10" fontId="75" fillId="0" borderId="94" xfId="10" applyNumberFormat="1" applyFont="1" applyFill="1" applyBorder="1" applyAlignment="1" applyProtection="1">
      <alignment vertical="center"/>
      <protection locked="0"/>
    </xf>
    <xf numFmtId="49" fontId="75" fillId="16" borderId="165" xfId="10" applyNumberFormat="1" applyFont="1" applyFill="1" applyBorder="1" applyAlignment="1" applyProtection="1">
      <alignment horizontal="center" vertical="center" wrapText="1"/>
      <protection locked="0"/>
    </xf>
    <xf numFmtId="49" fontId="75" fillId="16" borderId="166" xfId="10" applyNumberFormat="1" applyFont="1" applyFill="1" applyBorder="1" applyAlignment="1" applyProtection="1">
      <alignment horizontal="left" vertical="center" wrapText="1"/>
      <protection locked="0"/>
    </xf>
    <xf numFmtId="49" fontId="75" fillId="16" borderId="0" xfId="10" applyNumberFormat="1" applyFont="1" applyFill="1" applyBorder="1" applyAlignment="1" applyProtection="1">
      <alignment horizontal="center" vertical="center" wrapText="1"/>
      <protection locked="0"/>
    </xf>
    <xf numFmtId="3" fontId="75" fillId="0" borderId="1" xfId="10" applyNumberFormat="1" applyFont="1" applyFill="1" applyBorder="1" applyAlignment="1" applyProtection="1">
      <alignment vertical="center"/>
      <protection locked="0"/>
    </xf>
    <xf numFmtId="49" fontId="75" fillId="16" borderId="99" xfId="10" applyNumberFormat="1" applyFont="1" applyFill="1" applyBorder="1" applyAlignment="1" applyProtection="1">
      <alignment horizontal="center" vertical="center" wrapText="1"/>
      <protection locked="0"/>
    </xf>
    <xf numFmtId="49" fontId="75" fillId="16" borderId="100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51" xfId="10" applyNumberFormat="1" applyFont="1" applyFill="1" applyBorder="1" applyAlignment="1" applyProtection="1">
      <alignment vertical="center"/>
      <protection locked="0"/>
    </xf>
    <xf numFmtId="10" fontId="75" fillId="0" borderId="151" xfId="10" applyNumberFormat="1" applyFont="1" applyFill="1" applyBorder="1" applyAlignment="1" applyProtection="1">
      <alignment vertical="center"/>
      <protection locked="0"/>
    </xf>
    <xf numFmtId="49" fontId="75" fillId="12" borderId="175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176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77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158" xfId="0" applyBorder="1" applyAlignment="1">
      <alignment vertical="center"/>
    </xf>
    <xf numFmtId="0" fontId="0" fillId="0" borderId="88" xfId="0" applyBorder="1" applyAlignment="1">
      <alignment vertical="center"/>
    </xf>
    <xf numFmtId="49" fontId="75" fillId="12" borderId="17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79" xfId="10" applyNumberFormat="1" applyFont="1" applyFill="1" applyBorder="1" applyAlignment="1" applyProtection="1">
      <alignment horizontal="center" vertical="center" wrapText="1"/>
      <protection locked="0"/>
    </xf>
    <xf numFmtId="3" fontId="75" fillId="0" borderId="112" xfId="10" applyNumberFormat="1" applyFont="1" applyFill="1" applyBorder="1" applyAlignment="1" applyProtection="1">
      <alignment vertical="center"/>
      <protection locked="0"/>
    </xf>
    <xf numFmtId="10" fontId="75" fillId="0" borderId="112" xfId="10" applyNumberFormat="1" applyFont="1" applyFill="1" applyBorder="1" applyAlignment="1" applyProtection="1">
      <alignment vertical="center"/>
      <protection locked="0"/>
    </xf>
    <xf numFmtId="49" fontId="75" fillId="12" borderId="50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01" xfId="10" applyNumberFormat="1" applyFont="1" applyFill="1" applyBorder="1" applyAlignment="1" applyProtection="1">
      <alignment vertical="center"/>
      <protection locked="0"/>
    </xf>
    <xf numFmtId="3" fontId="79" fillId="8" borderId="7" xfId="10" applyNumberFormat="1" applyFont="1" applyFill="1" applyBorder="1" applyAlignment="1" applyProtection="1">
      <alignment vertical="center"/>
      <protection locked="0"/>
    </xf>
    <xf numFmtId="10" fontId="79" fillId="8" borderId="7" xfId="10" applyNumberFormat="1" applyFont="1" applyFill="1" applyBorder="1" applyAlignment="1" applyProtection="1">
      <alignment vertical="center"/>
      <protection locked="0"/>
    </xf>
    <xf numFmtId="10" fontId="75" fillId="0" borderId="1" xfId="10" applyNumberFormat="1" applyFont="1" applyFill="1" applyBorder="1" applyAlignment="1" applyProtection="1">
      <alignment vertical="center"/>
      <protection locked="0"/>
    </xf>
    <xf numFmtId="3" fontId="75" fillId="0" borderId="51" xfId="10" applyNumberFormat="1" applyFont="1" applyFill="1" applyBorder="1" applyAlignment="1" applyProtection="1">
      <alignment vertical="center"/>
      <protection locked="0"/>
    </xf>
    <xf numFmtId="10" fontId="75" fillId="0" borderId="51" xfId="10" applyNumberFormat="1" applyFont="1" applyFill="1" applyBorder="1" applyAlignment="1" applyProtection="1">
      <alignment vertical="center"/>
      <protection locked="0"/>
    </xf>
    <xf numFmtId="49" fontId="75" fillId="12" borderId="18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83" xfId="10" applyNumberFormat="1" applyFont="1" applyFill="1" applyBorder="1" applyAlignment="1" applyProtection="1">
      <alignment horizontal="left" vertical="center" wrapText="1"/>
      <protection locked="0"/>
    </xf>
    <xf numFmtId="10" fontId="75" fillId="0" borderId="101" xfId="10" applyNumberFormat="1" applyFont="1" applyFill="1" applyBorder="1" applyAlignment="1" applyProtection="1">
      <alignment vertical="center"/>
      <protection locked="0"/>
    </xf>
    <xf numFmtId="3" fontId="80" fillId="6" borderId="7" xfId="10" applyNumberFormat="1" applyFont="1" applyFill="1" applyBorder="1" applyAlignment="1" applyProtection="1">
      <alignment vertical="center"/>
      <protection locked="0"/>
    </xf>
    <xf numFmtId="10" fontId="80" fillId="6" borderId="7" xfId="10" applyNumberFormat="1" applyFont="1" applyFill="1" applyBorder="1" applyAlignment="1" applyProtection="1">
      <alignment vertical="center"/>
      <protection locked="0"/>
    </xf>
    <xf numFmtId="3" fontId="79" fillId="0" borderId="16" xfId="10" applyNumberFormat="1" applyFont="1" applyFill="1" applyBorder="1" applyAlignment="1" applyProtection="1">
      <alignment vertical="center"/>
      <protection locked="0"/>
    </xf>
    <xf numFmtId="10" fontId="79" fillId="0" borderId="16" xfId="10" applyNumberFormat="1" applyFont="1" applyFill="1" applyBorder="1" applyAlignment="1" applyProtection="1">
      <alignment vertical="center"/>
      <protection locked="0"/>
    </xf>
    <xf numFmtId="3" fontId="81" fillId="0" borderId="94" xfId="10" applyNumberFormat="1" applyFont="1" applyFill="1" applyBorder="1" applyAlignment="1" applyProtection="1">
      <alignment vertical="center"/>
      <protection locked="0"/>
    </xf>
    <xf numFmtId="10" fontId="81" fillId="0" borderId="94" xfId="10" applyNumberFormat="1" applyFont="1" applyFill="1" applyBorder="1" applyAlignment="1" applyProtection="1">
      <alignment vertical="center"/>
      <protection locked="0"/>
    </xf>
    <xf numFmtId="49" fontId="75" fillId="0" borderId="137" xfId="10" applyNumberFormat="1" applyFont="1" applyFill="1" applyBorder="1" applyAlignment="1" applyProtection="1">
      <alignment horizontal="center" vertical="center" wrapText="1"/>
      <protection locked="0"/>
    </xf>
    <xf numFmtId="3" fontId="75" fillId="0" borderId="137" xfId="10" applyNumberFormat="1" applyFont="1" applyFill="1" applyBorder="1" applyAlignment="1" applyProtection="1">
      <alignment vertical="center"/>
      <protection locked="0"/>
    </xf>
    <xf numFmtId="49" fontId="80" fillId="6" borderId="7" xfId="10" applyNumberFormat="1" applyFont="1" applyFill="1" applyBorder="1" applyAlignment="1" applyProtection="1">
      <alignment horizontal="center" vertical="center" wrapText="1"/>
      <protection locked="0"/>
    </xf>
    <xf numFmtId="49" fontId="80" fillId="6" borderId="133" xfId="10" applyNumberFormat="1" applyFont="1" applyFill="1" applyBorder="1" applyAlignment="1" applyProtection="1">
      <alignment horizontal="center" vertical="center" wrapText="1"/>
      <protection locked="0"/>
    </xf>
    <xf numFmtId="49" fontId="80" fillId="6" borderId="134" xfId="10" applyNumberFormat="1" applyFont="1" applyFill="1" applyBorder="1" applyAlignment="1" applyProtection="1">
      <alignment horizontal="left" vertical="center" wrapText="1"/>
      <protection locked="0"/>
    </xf>
    <xf numFmtId="0" fontId="75" fillId="0" borderId="140" xfId="10" applyNumberFormat="1" applyFont="1" applyFill="1" applyBorder="1" applyAlignment="1" applyProtection="1">
      <alignment horizontal="center" vertical="center"/>
      <protection locked="0"/>
    </xf>
    <xf numFmtId="0" fontId="75" fillId="0" borderId="97" xfId="10" applyNumberFormat="1" applyFont="1" applyFill="1" applyBorder="1" applyAlignment="1" applyProtection="1">
      <alignment horizontal="left" vertical="center"/>
      <protection locked="0"/>
    </xf>
    <xf numFmtId="49" fontId="75" fillId="0" borderId="125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7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7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72" xfId="10" applyNumberFormat="1" applyFont="1" applyFill="1" applyBorder="1" applyAlignment="1" applyProtection="1">
      <alignment horizontal="left" vertical="center" wrapText="1"/>
      <protection locked="0"/>
    </xf>
    <xf numFmtId="3" fontId="79" fillId="0" borderId="88" xfId="10" applyNumberFormat="1" applyFont="1" applyFill="1" applyBorder="1" applyAlignment="1" applyProtection="1">
      <alignment vertical="center"/>
      <protection locked="0"/>
    </xf>
    <xf numFmtId="10" fontId="79" fillId="0" borderId="88" xfId="10" applyNumberFormat="1" applyFont="1" applyFill="1" applyBorder="1" applyAlignment="1" applyProtection="1">
      <alignment vertical="center"/>
      <protection locked="0"/>
    </xf>
    <xf numFmtId="3" fontId="75" fillId="0" borderId="187" xfId="10" applyNumberFormat="1" applyFont="1" applyFill="1" applyBorder="1" applyAlignment="1" applyProtection="1">
      <alignment vertical="center"/>
      <protection locked="0"/>
    </xf>
    <xf numFmtId="10" fontId="75" fillId="0" borderId="187" xfId="10" applyNumberFormat="1" applyFont="1" applyFill="1" applyBorder="1" applyAlignment="1" applyProtection="1">
      <alignment vertical="center"/>
      <protection locked="0"/>
    </xf>
    <xf numFmtId="49" fontId="75" fillId="12" borderId="18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9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86" xfId="10" applyNumberFormat="1" applyFont="1" applyFill="1" applyBorder="1" applyAlignment="1" applyProtection="1">
      <alignment horizontal="center" vertical="center" wrapText="1"/>
      <protection locked="0"/>
    </xf>
    <xf numFmtId="3" fontId="75" fillId="0" borderId="187" xfId="10" applyNumberFormat="1" applyFont="1" applyFill="1" applyBorder="1" applyAlignment="1" applyProtection="1">
      <alignment horizontal="right" vertical="center"/>
      <protection locked="0"/>
    </xf>
    <xf numFmtId="3" fontId="81" fillId="0" borderId="187" xfId="10" applyNumberFormat="1" applyFont="1" applyFill="1" applyBorder="1" applyAlignment="1" applyProtection="1">
      <alignment horizontal="right" vertical="center"/>
      <protection locked="0"/>
    </xf>
    <xf numFmtId="0" fontId="75" fillId="0" borderId="191" xfId="10" applyNumberFormat="1" applyFont="1" applyFill="1" applyBorder="1" applyAlignment="1" applyProtection="1">
      <alignment horizontal="center" vertical="center"/>
      <protection locked="0"/>
    </xf>
    <xf numFmtId="0" fontId="75" fillId="0" borderId="180" xfId="10" applyNumberFormat="1" applyFont="1" applyFill="1" applyBorder="1" applyAlignment="1" applyProtection="1">
      <alignment horizontal="left" vertical="center"/>
      <protection locked="0"/>
    </xf>
    <xf numFmtId="49" fontId="75" fillId="12" borderId="19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93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9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94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8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80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95" xfId="10" applyNumberFormat="1" applyFont="1" applyFill="1" applyBorder="1" applyAlignment="1" applyProtection="1">
      <alignment horizontal="right" vertical="center"/>
      <protection locked="0"/>
    </xf>
    <xf numFmtId="10" fontId="75" fillId="0" borderId="195" xfId="10" applyNumberFormat="1" applyFont="1" applyFill="1" applyBorder="1" applyAlignment="1" applyProtection="1">
      <alignment horizontal="right" vertical="center"/>
      <protection locked="0"/>
    </xf>
    <xf numFmtId="49" fontId="75" fillId="12" borderId="196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97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98" xfId="10" applyNumberFormat="1" applyFont="1" applyFill="1" applyBorder="1" applyAlignment="1" applyProtection="1">
      <alignment horizontal="right" vertical="center"/>
      <protection locked="0"/>
    </xf>
    <xf numFmtId="10" fontId="75" fillId="0" borderId="198" xfId="10" applyNumberFormat="1" applyFont="1" applyFill="1" applyBorder="1" applyAlignment="1" applyProtection="1">
      <alignment horizontal="right" vertical="center"/>
      <protection locked="0"/>
    </xf>
    <xf numFmtId="3" fontId="79" fillId="0" borderId="199" xfId="10" applyNumberFormat="1" applyFont="1" applyFill="1" applyBorder="1" applyAlignment="1" applyProtection="1">
      <alignment horizontal="right" vertical="center"/>
      <protection locked="0"/>
    </xf>
    <xf numFmtId="10" fontId="79" fillId="0" borderId="199" xfId="10" applyNumberFormat="1" applyFont="1" applyFill="1" applyBorder="1" applyAlignment="1" applyProtection="1">
      <alignment horizontal="right" vertical="center"/>
      <protection locked="0"/>
    </xf>
    <xf numFmtId="3" fontId="75" fillId="0" borderId="200" xfId="10" applyNumberFormat="1" applyFont="1" applyFill="1" applyBorder="1" applyAlignment="1" applyProtection="1">
      <alignment horizontal="right" vertical="center"/>
      <protection locked="0"/>
    </xf>
    <xf numFmtId="10" fontId="75" fillId="0" borderId="200" xfId="10" applyNumberFormat="1" applyFont="1" applyFill="1" applyBorder="1" applyAlignment="1" applyProtection="1">
      <alignment horizontal="right" vertical="center"/>
      <protection locked="0"/>
    </xf>
    <xf numFmtId="49" fontId="75" fillId="12" borderId="201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02" xfId="10" applyNumberFormat="1" applyFont="1" applyFill="1" applyBorder="1" applyAlignment="1" applyProtection="1">
      <alignment horizontal="right" vertical="center"/>
      <protection locked="0"/>
    </xf>
    <xf numFmtId="10" fontId="75" fillId="0" borderId="202" xfId="10" applyNumberFormat="1" applyFont="1" applyFill="1" applyBorder="1" applyAlignment="1" applyProtection="1">
      <alignment horizontal="right" vertical="center"/>
      <protection locked="0"/>
    </xf>
    <xf numFmtId="3" fontId="79" fillId="0" borderId="203" xfId="10" applyNumberFormat="1" applyFont="1" applyFill="1" applyBorder="1" applyAlignment="1" applyProtection="1">
      <alignment horizontal="right" vertical="center"/>
      <protection locked="0"/>
    </xf>
    <xf numFmtId="10" fontId="79" fillId="0" borderId="203" xfId="10" applyNumberFormat="1" applyFont="1" applyFill="1" applyBorder="1" applyAlignment="1" applyProtection="1">
      <alignment horizontal="right" vertical="center"/>
      <protection locked="0"/>
    </xf>
    <xf numFmtId="3" fontId="75" fillId="0" borderId="204" xfId="10" applyNumberFormat="1" applyFont="1" applyFill="1" applyBorder="1" applyAlignment="1" applyProtection="1">
      <alignment horizontal="right" vertical="center"/>
      <protection locked="0"/>
    </xf>
    <xf numFmtId="10" fontId="75" fillId="0" borderId="204" xfId="10" applyNumberFormat="1" applyFont="1" applyFill="1" applyBorder="1" applyAlignment="1" applyProtection="1">
      <alignment horizontal="right" vertical="center"/>
      <protection locked="0"/>
    </xf>
    <xf numFmtId="49" fontId="75" fillId="12" borderId="205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06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07" xfId="10" applyNumberFormat="1" applyFont="1" applyFill="1" applyBorder="1" applyAlignment="1" applyProtection="1">
      <alignment horizontal="right" vertical="center"/>
      <protection locked="0"/>
    </xf>
    <xf numFmtId="10" fontId="75" fillId="0" borderId="207" xfId="10" applyNumberFormat="1" applyFont="1" applyFill="1" applyBorder="1" applyAlignment="1" applyProtection="1">
      <alignment horizontal="right" vertical="center"/>
      <protection locked="0"/>
    </xf>
    <xf numFmtId="3" fontId="80" fillId="6" borderId="208" xfId="10" applyNumberFormat="1" applyFont="1" applyFill="1" applyBorder="1" applyAlignment="1" applyProtection="1">
      <alignment horizontal="right" vertical="center"/>
      <protection locked="0"/>
    </xf>
    <xf numFmtId="10" fontId="80" fillId="6" borderId="208" xfId="10" applyNumberFormat="1" applyFont="1" applyFill="1" applyBorder="1" applyAlignment="1" applyProtection="1">
      <alignment horizontal="right" vertical="center"/>
      <protection locked="0"/>
    </xf>
    <xf numFmtId="3" fontId="79" fillId="0" borderId="209" xfId="10" applyNumberFormat="1" applyFont="1" applyFill="1" applyBorder="1" applyAlignment="1" applyProtection="1">
      <alignment horizontal="right" vertical="center"/>
      <protection locked="0"/>
    </xf>
    <xf numFmtId="10" fontId="79" fillId="0" borderId="209" xfId="10" applyNumberFormat="1" applyFont="1" applyFill="1" applyBorder="1" applyAlignment="1" applyProtection="1">
      <alignment horizontal="right" vertical="center"/>
      <protection locked="0"/>
    </xf>
    <xf numFmtId="3" fontId="75" fillId="0" borderId="210" xfId="10" applyNumberFormat="1" applyFont="1" applyFill="1" applyBorder="1" applyAlignment="1" applyProtection="1">
      <alignment horizontal="right" vertical="center"/>
      <protection locked="0"/>
    </xf>
    <xf numFmtId="10" fontId="75" fillId="0" borderId="210" xfId="10" applyNumberFormat="1" applyFont="1" applyFill="1" applyBorder="1" applyAlignment="1" applyProtection="1">
      <alignment horizontal="right" vertical="center"/>
      <protection locked="0"/>
    </xf>
    <xf numFmtId="3" fontId="79" fillId="0" borderId="211" xfId="10" applyNumberFormat="1" applyFont="1" applyFill="1" applyBorder="1" applyAlignment="1" applyProtection="1">
      <alignment horizontal="right" vertical="center"/>
      <protection locked="0"/>
    </xf>
    <xf numFmtId="10" fontId="79" fillId="0" borderId="211" xfId="10" applyNumberFormat="1" applyFont="1" applyFill="1" applyBorder="1" applyAlignment="1" applyProtection="1">
      <alignment horizontal="right" vertical="center"/>
      <protection locked="0"/>
    </xf>
    <xf numFmtId="49" fontId="75" fillId="12" borderId="21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1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1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15" xfId="10" applyNumberFormat="1" applyFont="1" applyFill="1" applyBorder="1" applyAlignment="1" applyProtection="1">
      <alignment horizontal="left" vertical="center" wrapText="1"/>
      <protection locked="0"/>
    </xf>
    <xf numFmtId="3" fontId="79" fillId="0" borderId="204" xfId="10" applyNumberFormat="1" applyFont="1" applyFill="1" applyBorder="1" applyAlignment="1" applyProtection="1">
      <alignment horizontal="right" vertical="center"/>
      <protection locked="0"/>
    </xf>
    <xf numFmtId="10" fontId="79" fillId="0" borderId="204" xfId="10" applyNumberFormat="1" applyFont="1" applyFill="1" applyBorder="1" applyAlignment="1" applyProtection="1">
      <alignment horizontal="right" vertical="center"/>
      <protection locked="0"/>
    </xf>
    <xf numFmtId="3" fontId="79" fillId="10" borderId="208" xfId="10" applyNumberFormat="1" applyFont="1" applyFill="1" applyBorder="1" applyAlignment="1" applyProtection="1">
      <alignment horizontal="right" vertical="center"/>
      <protection locked="0"/>
    </xf>
    <xf numFmtId="10" fontId="79" fillId="10" borderId="217" xfId="10" applyNumberFormat="1" applyFont="1" applyFill="1" applyBorder="1" applyAlignment="1" applyProtection="1">
      <alignment horizontal="right" vertical="center"/>
      <protection locked="0"/>
    </xf>
    <xf numFmtId="49" fontId="80" fillId="15" borderId="218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65" xfId="10" applyNumberFormat="1" applyFont="1" applyFill="1" applyBorder="1" applyAlignment="1" applyProtection="1">
      <alignment horizontal="right" vertical="center"/>
      <protection locked="0"/>
    </xf>
    <xf numFmtId="10" fontId="80" fillId="6" borderId="65" xfId="10" applyNumberFormat="1" applyFont="1" applyFill="1" applyBorder="1" applyAlignment="1" applyProtection="1">
      <alignment horizontal="right" vertical="center"/>
      <protection locked="0"/>
    </xf>
    <xf numFmtId="49" fontId="75" fillId="12" borderId="219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20" xfId="10" applyNumberFormat="1" applyFont="1" applyFill="1" applyBorder="1" applyAlignment="1" applyProtection="1">
      <alignment horizontal="right" vertical="center"/>
      <protection locked="0"/>
    </xf>
    <xf numFmtId="10" fontId="75" fillId="0" borderId="220" xfId="10" applyNumberFormat="1" applyFont="1" applyFill="1" applyBorder="1" applyAlignment="1" applyProtection="1">
      <alignment horizontal="right" vertical="center"/>
      <protection locked="0"/>
    </xf>
    <xf numFmtId="49" fontId="75" fillId="0" borderId="21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21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22" xfId="10" applyNumberFormat="1" applyFont="1" applyFill="1" applyBorder="1" applyAlignment="1" applyProtection="1">
      <alignment horizontal="right" vertical="center"/>
      <protection locked="0"/>
    </xf>
    <xf numFmtId="10" fontId="75" fillId="0" borderId="222" xfId="10" applyNumberFormat="1" applyFont="1" applyFill="1" applyBorder="1" applyAlignment="1" applyProtection="1">
      <alignment horizontal="right" vertical="center"/>
      <protection locked="0"/>
    </xf>
    <xf numFmtId="49" fontId="79" fillId="14" borderId="223" xfId="10" applyNumberFormat="1" applyFont="1" applyFill="1" applyBorder="1" applyAlignment="1" applyProtection="1">
      <alignment horizontal="left" vertical="center" wrapText="1"/>
      <protection locked="0"/>
    </xf>
    <xf numFmtId="3" fontId="79" fillId="10" borderId="59" xfId="10" applyNumberFormat="1" applyFont="1" applyFill="1" applyBorder="1" applyAlignment="1" applyProtection="1">
      <alignment horizontal="right" vertical="center"/>
      <protection locked="0"/>
    </xf>
    <xf numFmtId="10" fontId="79" fillId="10" borderId="59" xfId="10" applyNumberFormat="1" applyFont="1" applyFill="1" applyBorder="1" applyAlignment="1" applyProtection="1">
      <alignment horizontal="right" vertical="center"/>
      <protection locked="0"/>
    </xf>
    <xf numFmtId="49" fontId="79" fillId="16" borderId="212" xfId="10" applyNumberFormat="1" applyFont="1" applyFill="1" applyBorder="1" applyAlignment="1" applyProtection="1">
      <alignment horizontal="center" vertical="center" wrapText="1"/>
      <protection locked="0"/>
    </xf>
    <xf numFmtId="49" fontId="79" fillId="15" borderId="21" xfId="10" applyNumberFormat="1" applyFont="1" applyFill="1" applyBorder="1" applyAlignment="1" applyProtection="1">
      <alignment horizontal="center" vertical="center" wrapText="1"/>
      <protection locked="0"/>
    </xf>
    <xf numFmtId="49" fontId="79" fillId="15" borderId="82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223" xfId="10" applyNumberFormat="1" applyFont="1" applyFill="1" applyBorder="1" applyAlignment="1" applyProtection="1">
      <alignment horizontal="left" vertical="center" wrapText="1"/>
      <protection locked="0"/>
    </xf>
    <xf numFmtId="3" fontId="79" fillId="6" borderId="59" xfId="10" applyNumberFormat="1" applyFont="1" applyFill="1" applyBorder="1" applyAlignment="1" applyProtection="1">
      <alignment horizontal="right" vertical="center"/>
      <protection locked="0"/>
    </xf>
    <xf numFmtId="10" fontId="79" fillId="6" borderId="59" xfId="10" applyNumberFormat="1" applyFont="1" applyFill="1" applyBorder="1" applyAlignment="1" applyProtection="1">
      <alignment horizontal="right" vertical="center"/>
      <protection locked="0"/>
    </xf>
    <xf numFmtId="3" fontId="79" fillId="3" borderId="59" xfId="10" applyNumberFormat="1" applyFont="1" applyFill="1" applyBorder="1" applyAlignment="1" applyProtection="1">
      <alignment horizontal="right" vertical="center"/>
      <protection locked="0"/>
    </xf>
    <xf numFmtId="10" fontId="79" fillId="3" borderId="59" xfId="10" applyNumberFormat="1" applyFont="1" applyFill="1" applyBorder="1" applyAlignment="1" applyProtection="1">
      <alignment horizontal="right" vertical="center"/>
      <protection locked="0"/>
    </xf>
    <xf numFmtId="3" fontId="75" fillId="3" borderId="69" xfId="10" applyNumberFormat="1" applyFont="1" applyFill="1" applyBorder="1" applyAlignment="1" applyProtection="1">
      <alignment horizontal="right" vertical="center"/>
      <protection locked="0"/>
    </xf>
    <xf numFmtId="10" fontId="75" fillId="3" borderId="69" xfId="10" applyNumberFormat="1" applyFont="1" applyFill="1" applyBorder="1" applyAlignment="1" applyProtection="1">
      <alignment horizontal="right" vertical="center"/>
      <protection locked="0"/>
    </xf>
    <xf numFmtId="49" fontId="75" fillId="16" borderId="167" xfId="10" applyNumberFormat="1" applyFont="1" applyFill="1" applyBorder="1" applyAlignment="1" applyProtection="1">
      <alignment horizontal="center" vertical="center" wrapText="1"/>
      <protection locked="0"/>
    </xf>
    <xf numFmtId="49" fontId="75" fillId="16" borderId="225" xfId="10" applyNumberFormat="1" applyFont="1" applyFill="1" applyBorder="1" applyAlignment="1" applyProtection="1">
      <alignment horizontal="left" vertical="center" wrapText="1"/>
      <protection locked="0"/>
    </xf>
    <xf numFmtId="3" fontId="75" fillId="3" borderId="222" xfId="10" applyNumberFormat="1" applyFont="1" applyFill="1" applyBorder="1" applyAlignment="1" applyProtection="1">
      <alignment horizontal="right" vertical="center"/>
      <protection locked="0"/>
    </xf>
    <xf numFmtId="3" fontId="81" fillId="0" borderId="200" xfId="10" applyNumberFormat="1" applyFont="1" applyFill="1" applyBorder="1" applyAlignment="1" applyProtection="1">
      <alignment horizontal="right" vertical="center"/>
      <protection locked="0"/>
    </xf>
    <xf numFmtId="10" fontId="81" fillId="0" borderId="200" xfId="10" applyNumberFormat="1" applyFont="1" applyFill="1" applyBorder="1" applyAlignment="1" applyProtection="1">
      <alignment horizontal="right" vertical="center"/>
      <protection locked="0"/>
    </xf>
    <xf numFmtId="49" fontId="75" fillId="0" borderId="126" xfId="10" applyNumberFormat="1" applyFont="1" applyFill="1" applyBorder="1" applyAlignment="1" applyProtection="1">
      <alignment vertical="center" wrapText="1"/>
      <protection locked="0"/>
    </xf>
    <xf numFmtId="0" fontId="0" fillId="0" borderId="126" xfId="0" applyBorder="1" applyAlignment="1">
      <alignment vertical="center" wrapText="1"/>
    </xf>
    <xf numFmtId="0" fontId="0" fillId="0" borderId="156" xfId="0" applyBorder="1" applyAlignment="1">
      <alignment vertical="center" wrapText="1"/>
    </xf>
    <xf numFmtId="10" fontId="0" fillId="0" borderId="156" xfId="0" applyNumberFormat="1" applyBorder="1" applyAlignment="1">
      <alignment vertical="center" wrapText="1"/>
    </xf>
    <xf numFmtId="49" fontId="75" fillId="12" borderId="226" xfId="10" applyNumberFormat="1" applyFont="1" applyFill="1" applyBorder="1" applyAlignment="1" applyProtection="1">
      <alignment horizontal="left" vertical="center" wrapText="1"/>
      <protection locked="0"/>
    </xf>
    <xf numFmtId="49" fontId="79" fillId="14" borderId="56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227" xfId="10" applyNumberFormat="1" applyFont="1" applyFill="1" applyBorder="1" applyAlignment="1" applyProtection="1">
      <alignment horizontal="left" vertical="center" wrapText="1"/>
      <protection locked="0"/>
    </xf>
    <xf numFmtId="3" fontId="75" fillId="3" borderId="198" xfId="10" applyNumberFormat="1" applyFont="1" applyFill="1" applyBorder="1" applyAlignment="1" applyProtection="1">
      <alignment horizontal="right" vertical="center"/>
      <protection locked="0"/>
    </xf>
    <xf numFmtId="10" fontId="75" fillId="3" borderId="198" xfId="10" applyNumberFormat="1" applyFont="1" applyFill="1" applyBorder="1" applyAlignment="1" applyProtection="1">
      <alignment horizontal="right" vertical="center"/>
      <protection locked="0"/>
    </xf>
    <xf numFmtId="49" fontId="79" fillId="0" borderId="21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13" xfId="10" applyNumberFormat="1" applyFont="1" applyFill="1" applyBorder="1" applyAlignment="1" applyProtection="1">
      <alignment vertical="center" wrapText="1"/>
      <protection locked="0"/>
    </xf>
    <xf numFmtId="10" fontId="75" fillId="12" borderId="213" xfId="10" applyNumberFormat="1" applyFont="1" applyFill="1" applyBorder="1" applyAlignment="1" applyProtection="1">
      <alignment vertical="center" wrapText="1"/>
      <protection locked="0"/>
    </xf>
    <xf numFmtId="49" fontId="75" fillId="12" borderId="20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28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98" xfId="10" applyNumberFormat="1" applyFont="1" applyFill="1" applyBorder="1" applyAlignment="1" applyProtection="1">
      <alignment vertical="center"/>
      <protection locked="0"/>
    </xf>
    <xf numFmtId="10" fontId="75" fillId="0" borderId="198" xfId="10" applyNumberFormat="1" applyFont="1" applyFill="1" applyBorder="1" applyAlignment="1" applyProtection="1">
      <alignment vertical="center"/>
      <protection locked="0"/>
    </xf>
    <xf numFmtId="49" fontId="75" fillId="12" borderId="229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213" xfId="0" applyBorder="1" applyAlignment="1">
      <alignment vertical="center"/>
    </xf>
    <xf numFmtId="10" fontId="0" fillId="0" borderId="213" xfId="0" applyNumberFormat="1" applyBorder="1" applyAlignment="1">
      <alignment vertical="center"/>
    </xf>
    <xf numFmtId="0" fontId="75" fillId="0" borderId="230" xfId="10" applyNumberFormat="1" applyFont="1" applyFill="1" applyBorder="1" applyAlignment="1" applyProtection="1">
      <alignment vertical="center"/>
      <protection locked="0"/>
    </xf>
    <xf numFmtId="0" fontId="75" fillId="0" borderId="198" xfId="10" applyNumberFormat="1" applyFont="1" applyFill="1" applyBorder="1" applyAlignment="1" applyProtection="1">
      <alignment vertical="center"/>
      <protection locked="0"/>
    </xf>
    <xf numFmtId="3" fontId="81" fillId="0" borderId="231" xfId="10" applyNumberFormat="1" applyFont="1" applyFill="1" applyBorder="1" applyAlignment="1" applyProtection="1">
      <alignment horizontal="right" vertical="center"/>
      <protection locked="0"/>
    </xf>
    <xf numFmtId="10" fontId="81" fillId="0" borderId="231" xfId="10" applyNumberFormat="1" applyFont="1" applyFill="1" applyBorder="1" applyAlignment="1" applyProtection="1">
      <alignment horizontal="right" vertical="center"/>
      <protection locked="0"/>
    </xf>
    <xf numFmtId="49" fontId="75" fillId="12" borderId="23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02" xfId="10" applyNumberFormat="1" applyFont="1" applyFill="1" applyBorder="1" applyAlignment="1" applyProtection="1">
      <alignment vertical="center" wrapText="1"/>
      <protection locked="0"/>
    </xf>
    <xf numFmtId="49" fontId="75" fillId="12" borderId="228" xfId="10" applyNumberFormat="1" applyFont="1" applyFill="1" applyBorder="1" applyAlignment="1" applyProtection="1">
      <alignment vertical="center" wrapText="1"/>
      <protection locked="0"/>
    </xf>
    <xf numFmtId="3" fontId="75" fillId="12" borderId="122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122" xfId="10" applyNumberFormat="1" applyFont="1" applyFill="1" applyBorder="1" applyAlignment="1" applyProtection="1">
      <alignment horizontal="right" vertical="center" wrapText="1"/>
      <protection locked="0"/>
    </xf>
    <xf numFmtId="3" fontId="75" fillId="12" borderId="195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195" xfId="10" applyNumberFormat="1" applyFont="1" applyFill="1" applyBorder="1" applyAlignment="1" applyProtection="1">
      <alignment horizontal="right" vertical="center" wrapText="1"/>
      <protection locked="0"/>
    </xf>
    <xf numFmtId="3" fontId="75" fillId="12" borderId="231" xfId="10" applyNumberFormat="1" applyFont="1" applyFill="1" applyBorder="1" applyAlignment="1" applyProtection="1">
      <alignment horizontal="right" vertical="center" wrapText="1"/>
      <protection locked="0"/>
    </xf>
    <xf numFmtId="49" fontId="75" fillId="12" borderId="233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66" xfId="10" applyNumberFormat="1" applyFont="1" applyFill="1" applyBorder="1" applyAlignment="1" applyProtection="1">
      <alignment horizontal="center" vertical="center" wrapText="1"/>
      <protection locked="0"/>
    </xf>
    <xf numFmtId="3" fontId="75" fillId="12" borderId="94" xfId="10" applyNumberFormat="1" applyFont="1" applyFill="1" applyBorder="1" applyAlignment="1" applyProtection="1">
      <alignment horizontal="center" vertical="center" wrapText="1"/>
      <protection locked="0"/>
    </xf>
    <xf numFmtId="10" fontId="75" fillId="12" borderId="9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91" xfId="10" applyNumberFormat="1" applyFont="1" applyFill="1" applyBorder="1" applyAlignment="1" applyProtection="1">
      <alignment horizontal="center" vertical="center" wrapText="1"/>
      <protection locked="0"/>
    </xf>
    <xf numFmtId="0" fontId="75" fillId="0" borderId="193" xfId="10" applyNumberFormat="1" applyFont="1" applyFill="1" applyBorder="1" applyAlignment="1" applyProtection="1">
      <alignment horizontal="left" vertical="center"/>
      <protection locked="0"/>
    </xf>
    <xf numFmtId="3" fontId="75" fillId="0" borderId="213" xfId="10" applyNumberFormat="1" applyFont="1" applyFill="1" applyBorder="1" applyAlignment="1" applyProtection="1">
      <alignment vertical="center"/>
      <protection locked="0"/>
    </xf>
    <xf numFmtId="10" fontId="75" fillId="0" borderId="213" xfId="10" applyNumberFormat="1" applyFont="1" applyFill="1" applyBorder="1" applyAlignment="1" applyProtection="1">
      <alignment vertical="center"/>
      <protection locked="0"/>
    </xf>
    <xf numFmtId="49" fontId="75" fillId="12" borderId="234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235" xfId="10" applyNumberFormat="1" applyFont="1" applyFill="1" applyBorder="1" applyAlignment="1" applyProtection="1">
      <alignment horizontal="center" vertical="center" wrapText="1"/>
      <protection locked="0"/>
    </xf>
    <xf numFmtId="0" fontId="75" fillId="12" borderId="193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236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80" xfId="10" applyNumberFormat="1" applyFont="1" applyFill="1" applyBorder="1" applyAlignment="1" applyProtection="1">
      <alignment horizontal="center" vertical="center" wrapText="1"/>
      <protection locked="0"/>
    </xf>
    <xf numFmtId="3" fontId="75" fillId="0" borderId="237" xfId="10" applyNumberFormat="1" applyFont="1" applyFill="1" applyBorder="1" applyAlignment="1" applyProtection="1">
      <alignment horizontal="right" vertical="center"/>
      <protection locked="0"/>
    </xf>
    <xf numFmtId="10" fontId="75" fillId="0" borderId="237" xfId="10" applyNumberFormat="1" applyFont="1" applyFill="1" applyBorder="1" applyAlignment="1" applyProtection="1">
      <alignment horizontal="right" vertical="center"/>
      <protection locked="0"/>
    </xf>
    <xf numFmtId="49" fontId="75" fillId="12" borderId="87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122" xfId="10" applyNumberFormat="1" applyFont="1" applyFill="1" applyBorder="1" applyAlignment="1" applyProtection="1">
      <alignment horizontal="right" vertical="center"/>
      <protection locked="0"/>
    </xf>
    <xf numFmtId="10" fontId="75" fillId="0" borderId="122" xfId="10" applyNumberFormat="1" applyFont="1" applyFill="1" applyBorder="1" applyAlignment="1" applyProtection="1">
      <alignment horizontal="right" vertical="center"/>
      <protection locked="0"/>
    </xf>
    <xf numFmtId="49" fontId="75" fillId="12" borderId="238" xfId="10" applyNumberFormat="1" applyFont="1" applyFill="1" applyBorder="1" applyAlignment="1" applyProtection="1">
      <alignment horizontal="center" vertical="center" wrapText="1"/>
      <protection locked="0"/>
    </xf>
    <xf numFmtId="3" fontId="79" fillId="0" borderId="195" xfId="10" applyNumberFormat="1" applyFont="1" applyFill="1" applyBorder="1" applyAlignment="1" applyProtection="1">
      <alignment horizontal="right" vertical="center"/>
      <protection locked="0"/>
    </xf>
    <xf numFmtId="10" fontId="79" fillId="0" borderId="195" xfId="10" applyNumberFormat="1" applyFont="1" applyFill="1" applyBorder="1" applyAlignment="1" applyProtection="1">
      <alignment horizontal="right" vertical="center"/>
      <protection locked="0"/>
    </xf>
    <xf numFmtId="49" fontId="75" fillId="12" borderId="239" xfId="10" applyNumberFormat="1" applyFont="1" applyFill="1" applyBorder="1" applyAlignment="1" applyProtection="1">
      <alignment horizontal="center" vertical="center" wrapText="1"/>
      <protection locked="0"/>
    </xf>
    <xf numFmtId="3" fontId="75" fillId="0" borderId="213" xfId="10" applyNumberFormat="1" applyFont="1" applyFill="1" applyBorder="1" applyAlignment="1" applyProtection="1">
      <alignment horizontal="right" vertical="center"/>
      <protection locked="0"/>
    </xf>
    <xf numFmtId="3" fontId="81" fillId="0" borderId="237" xfId="10" applyNumberFormat="1" applyFont="1" applyFill="1" applyBorder="1" applyAlignment="1" applyProtection="1">
      <alignment horizontal="right" vertical="center"/>
      <protection locked="0"/>
    </xf>
    <xf numFmtId="10" fontId="75" fillId="0" borderId="213" xfId="10" applyNumberFormat="1" applyFont="1" applyFill="1" applyBorder="1" applyAlignment="1" applyProtection="1">
      <alignment horizontal="right" vertical="center"/>
      <protection locked="0"/>
    </xf>
    <xf numFmtId="49" fontId="75" fillId="12" borderId="180" xfId="10" applyNumberFormat="1" applyFont="1" applyFill="1" applyBorder="1" applyAlignment="1" applyProtection="1">
      <alignment vertical="center" wrapText="1"/>
      <protection locked="0"/>
    </xf>
    <xf numFmtId="49" fontId="75" fillId="12" borderId="195" xfId="10" applyNumberFormat="1" applyFont="1" applyFill="1" applyBorder="1" applyAlignment="1" applyProtection="1">
      <alignment vertical="center" wrapText="1"/>
      <protection locked="0"/>
    </xf>
    <xf numFmtId="10" fontId="75" fillId="12" borderId="195" xfId="10" applyNumberFormat="1" applyFont="1" applyFill="1" applyBorder="1" applyAlignment="1" applyProtection="1">
      <alignment vertical="center" wrapText="1"/>
      <protection locked="0"/>
    </xf>
    <xf numFmtId="3" fontId="81" fillId="0" borderId="195" xfId="10" applyNumberFormat="1" applyFont="1" applyFill="1" applyBorder="1" applyAlignment="1" applyProtection="1">
      <alignment horizontal="right" vertical="center"/>
      <protection locked="0"/>
    </xf>
    <xf numFmtId="10" fontId="81" fillId="0" borderId="195" xfId="10" applyNumberFormat="1" applyFont="1" applyFill="1" applyBorder="1" applyAlignment="1" applyProtection="1">
      <alignment horizontal="right" vertical="center"/>
      <protection locked="0"/>
    </xf>
    <xf numFmtId="49" fontId="75" fillId="12" borderId="120" xfId="10" applyNumberFormat="1" applyFont="1" applyFill="1" applyBorder="1" applyAlignment="1" applyProtection="1">
      <alignment vertical="center" wrapText="1"/>
      <protection locked="0"/>
    </xf>
    <xf numFmtId="49" fontId="75" fillId="12" borderId="121" xfId="10" applyNumberFormat="1" applyFont="1" applyFill="1" applyBorder="1" applyAlignment="1" applyProtection="1">
      <alignment vertical="center" wrapText="1"/>
      <protection locked="0"/>
    </xf>
    <xf numFmtId="3" fontId="75" fillId="16" borderId="195" xfId="10" applyNumberFormat="1" applyFont="1" applyFill="1" applyBorder="1" applyAlignment="1" applyProtection="1">
      <alignment horizontal="right" vertical="center" wrapText="1"/>
      <protection locked="0"/>
    </xf>
    <xf numFmtId="3" fontId="75" fillId="12" borderId="240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240" xfId="10" applyNumberFormat="1" applyFont="1" applyFill="1" applyBorder="1" applyAlignment="1" applyProtection="1">
      <alignment horizontal="right" vertical="center" wrapText="1"/>
      <protection locked="0"/>
    </xf>
    <xf numFmtId="49" fontId="75" fillId="12" borderId="241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42" xfId="10" applyNumberFormat="1" applyFont="1" applyFill="1" applyBorder="1" applyAlignment="1" applyProtection="1">
      <alignment horizontal="left" vertical="center" wrapText="1"/>
      <protection locked="0"/>
    </xf>
    <xf numFmtId="3" fontId="75" fillId="12" borderId="150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150" xfId="10" applyNumberFormat="1" applyFont="1" applyFill="1" applyBorder="1" applyAlignment="1" applyProtection="1">
      <alignment horizontal="right" vertical="center" wrapText="1"/>
      <protection locked="0"/>
    </xf>
    <xf numFmtId="49" fontId="75" fillId="12" borderId="243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99" xfId="10" applyNumberFormat="1" applyFont="1" applyFill="1" applyBorder="1" applyAlignment="1" applyProtection="1">
      <alignment horizontal="left" vertical="center" wrapText="1"/>
      <protection locked="0"/>
    </xf>
    <xf numFmtId="3" fontId="75" fillId="3" borderId="213" xfId="10" applyNumberFormat="1" applyFont="1" applyFill="1" applyBorder="1" applyAlignment="1" applyProtection="1">
      <alignment horizontal="right" vertical="center"/>
      <protection locked="0"/>
    </xf>
    <xf numFmtId="2" fontId="75" fillId="0" borderId="126" xfId="10" applyNumberFormat="1" applyFont="1" applyFill="1" applyBorder="1" applyAlignment="1" applyProtection="1">
      <alignment horizontal="left" vertical="center" wrapText="1"/>
      <protection locked="0"/>
    </xf>
    <xf numFmtId="2" fontId="75" fillId="0" borderId="175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44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45" xfId="10" applyNumberFormat="1" applyFont="1" applyFill="1" applyBorder="1" applyAlignment="1" applyProtection="1">
      <alignment horizontal="center" vertical="center" wrapText="1"/>
      <protection locked="0"/>
    </xf>
    <xf numFmtId="10" fontId="75" fillId="0" borderId="125" xfId="10" applyNumberFormat="1" applyFont="1" applyFill="1" applyBorder="1" applyAlignment="1" applyProtection="1">
      <alignment horizontal="right" vertical="center"/>
      <protection locked="0"/>
    </xf>
    <xf numFmtId="10" fontId="75" fillId="0" borderId="245" xfId="10" applyNumberFormat="1" applyFont="1" applyFill="1" applyBorder="1" applyAlignment="1" applyProtection="1">
      <alignment horizontal="right" vertical="center"/>
      <protection locked="0"/>
    </xf>
    <xf numFmtId="10" fontId="75" fillId="0" borderId="163" xfId="10" applyNumberFormat="1" applyFont="1" applyFill="1" applyBorder="1" applyAlignment="1" applyProtection="1">
      <alignment horizontal="right" vertical="center"/>
      <protection locked="0"/>
    </xf>
    <xf numFmtId="2" fontId="75" fillId="0" borderId="180" xfId="10" applyNumberFormat="1" applyFont="1" applyFill="1" applyBorder="1" applyAlignment="1" applyProtection="1">
      <alignment horizontal="left" vertical="center" wrapText="1"/>
      <protection locked="0"/>
    </xf>
    <xf numFmtId="3" fontId="79" fillId="0" borderId="16" xfId="10" applyNumberFormat="1" applyFont="1" applyFill="1" applyBorder="1" applyAlignment="1" applyProtection="1">
      <alignment horizontal="right" vertical="center"/>
      <protection locked="0"/>
    </xf>
    <xf numFmtId="10" fontId="79" fillId="0" borderId="16" xfId="10" applyNumberFormat="1" applyFont="1" applyFill="1" applyBorder="1" applyAlignment="1" applyProtection="1">
      <alignment horizontal="right" vertical="center"/>
      <protection locked="0"/>
    </xf>
    <xf numFmtId="49" fontId="75" fillId="0" borderId="246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213" xfId="10" applyNumberFormat="1" applyFont="1" applyFill="1" applyBorder="1" applyAlignment="1" applyProtection="1">
      <alignment horizontal="center" vertical="center" wrapText="1"/>
      <protection locked="0"/>
    </xf>
    <xf numFmtId="3" fontId="75" fillId="0" borderId="247" xfId="10" applyNumberFormat="1" applyFont="1" applyFill="1" applyBorder="1" applyAlignment="1" applyProtection="1">
      <alignment horizontal="right" vertical="center"/>
      <protection locked="0"/>
    </xf>
    <xf numFmtId="10" fontId="75" fillId="0" borderId="247" xfId="10" applyNumberFormat="1" applyFont="1" applyFill="1" applyBorder="1" applyAlignment="1" applyProtection="1">
      <alignment horizontal="right" vertical="center"/>
      <protection locked="0"/>
    </xf>
    <xf numFmtId="49" fontId="75" fillId="0" borderId="248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80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224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249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50" xfId="10" applyNumberFormat="1" applyFont="1" applyFill="1" applyBorder="1" applyAlignment="1" applyProtection="1">
      <alignment horizontal="right" vertical="center"/>
      <protection locked="0"/>
    </xf>
    <xf numFmtId="10" fontId="75" fillId="0" borderId="250" xfId="10" applyNumberFormat="1" applyFont="1" applyFill="1" applyBorder="1" applyAlignment="1" applyProtection="1">
      <alignment horizontal="right" vertical="center"/>
      <protection locked="0"/>
    </xf>
    <xf numFmtId="49" fontId="75" fillId="0" borderId="0" xfId="10" applyNumberFormat="1" applyFont="1" applyFill="1" applyBorder="1" applyAlignment="1" applyProtection="1">
      <alignment horizontal="center" vertical="center" wrapText="1"/>
      <protection locked="0"/>
    </xf>
    <xf numFmtId="3" fontId="79" fillId="0" borderId="247" xfId="10" applyNumberFormat="1" applyFont="1" applyFill="1" applyBorder="1" applyAlignment="1" applyProtection="1">
      <alignment horizontal="right" vertical="center"/>
      <protection locked="0"/>
    </xf>
    <xf numFmtId="10" fontId="79" fillId="0" borderId="247" xfId="10" applyNumberFormat="1" applyFont="1" applyFill="1" applyBorder="1" applyAlignment="1" applyProtection="1">
      <alignment horizontal="right" vertical="center"/>
      <protection locked="0"/>
    </xf>
    <xf numFmtId="49" fontId="29" fillId="0" borderId="193" xfId="0" applyNumberFormat="1" applyFont="1" applyBorder="1" applyAlignment="1">
      <alignment vertical="center" wrapText="1"/>
    </xf>
    <xf numFmtId="49" fontId="29" fillId="0" borderId="110" xfId="0" applyNumberFormat="1" applyFont="1" applyBorder="1" applyAlignment="1">
      <alignment vertical="center" wrapText="1"/>
    </xf>
    <xf numFmtId="10" fontId="79" fillId="0" borderId="213" xfId="10" applyNumberFormat="1" applyFont="1" applyFill="1" applyBorder="1" applyAlignment="1" applyProtection="1">
      <alignment horizontal="right" vertical="center"/>
      <protection locked="0"/>
    </xf>
    <xf numFmtId="49" fontId="75" fillId="0" borderId="251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158" xfId="10" applyNumberFormat="1" applyFont="1" applyFill="1" applyBorder="1" applyAlignment="1" applyProtection="1">
      <alignment horizontal="left" vertical="center" wrapText="1"/>
      <protection locked="0"/>
    </xf>
    <xf numFmtId="49" fontId="80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80" fillId="0" borderId="213" xfId="10" applyNumberFormat="1" applyFont="1" applyFill="1" applyBorder="1" applyAlignment="1" applyProtection="1">
      <alignment horizontal="center" vertical="center" wrapText="1"/>
      <protection locked="0"/>
    </xf>
    <xf numFmtId="10" fontId="80" fillId="0" borderId="213" xfId="10" applyNumberFormat="1" applyFont="1" applyFill="1" applyBorder="1" applyAlignment="1" applyProtection="1">
      <alignment horizontal="center" vertical="center" wrapText="1"/>
      <protection locked="0"/>
    </xf>
    <xf numFmtId="3" fontId="79" fillId="0" borderId="237" xfId="10" applyNumberFormat="1" applyFont="1" applyFill="1" applyBorder="1" applyAlignment="1" applyProtection="1">
      <alignment horizontal="right" vertical="center"/>
      <protection locked="0"/>
    </xf>
    <xf numFmtId="10" fontId="79" fillId="0" borderId="237" xfId="10" applyNumberFormat="1" applyFont="1" applyFill="1" applyBorder="1" applyAlignment="1" applyProtection="1">
      <alignment horizontal="right" vertical="center"/>
      <protection locked="0"/>
    </xf>
    <xf numFmtId="49" fontId="75" fillId="12" borderId="257" xfId="10" applyNumberFormat="1" applyFont="1" applyFill="1" applyBorder="1" applyAlignment="1" applyProtection="1">
      <alignment horizontal="left" vertical="center" wrapText="1"/>
      <protection locked="0"/>
    </xf>
    <xf numFmtId="49" fontId="79" fillId="6" borderId="7" xfId="10" applyNumberFormat="1" applyFont="1" applyFill="1" applyBorder="1" applyAlignment="1" applyProtection="1">
      <alignment horizontal="center" vertical="center" wrapText="1"/>
      <protection locked="0"/>
    </xf>
    <xf numFmtId="49" fontId="79" fillId="15" borderId="133" xfId="10" applyNumberFormat="1" applyFont="1" applyFill="1" applyBorder="1" applyAlignment="1" applyProtection="1">
      <alignment horizontal="center" vertical="center" wrapText="1"/>
      <protection locked="0"/>
    </xf>
    <xf numFmtId="49" fontId="79" fillId="15" borderId="134" xfId="10" applyNumberFormat="1" applyFont="1" applyFill="1" applyBorder="1" applyAlignment="1" applyProtection="1">
      <alignment horizontal="left" vertical="center" wrapText="1"/>
      <protection locked="0"/>
    </xf>
    <xf numFmtId="49" fontId="75" fillId="16" borderId="259" xfId="10" applyNumberFormat="1" applyFont="1" applyFill="1" applyBorder="1" applyAlignment="1" applyProtection="1">
      <alignment horizontal="center" vertical="center" wrapText="1"/>
      <protection locked="0"/>
    </xf>
    <xf numFmtId="49" fontId="75" fillId="16" borderId="258" xfId="10" applyNumberFormat="1" applyFont="1" applyFill="1" applyBorder="1" applyAlignment="1" applyProtection="1">
      <alignment horizontal="left" vertical="center" wrapText="1"/>
      <protection locked="0"/>
    </xf>
    <xf numFmtId="49" fontId="79" fillId="16" borderId="0" xfId="10" applyNumberFormat="1" applyFont="1" applyFill="1" applyBorder="1" applyAlignment="1" applyProtection="1">
      <alignment vertical="center" wrapText="1"/>
      <protection locked="0"/>
    </xf>
    <xf numFmtId="3" fontId="75" fillId="0" borderId="261" xfId="10" applyNumberFormat="1" applyFont="1" applyFill="1" applyBorder="1" applyAlignment="1" applyProtection="1">
      <alignment horizontal="right" vertical="center"/>
      <protection locked="0"/>
    </xf>
    <xf numFmtId="10" fontId="75" fillId="0" borderId="261" xfId="10" applyNumberFormat="1" applyFont="1" applyFill="1" applyBorder="1" applyAlignment="1" applyProtection="1">
      <alignment horizontal="right" vertical="center"/>
      <protection locked="0"/>
    </xf>
    <xf numFmtId="49" fontId="75" fillId="12" borderId="26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63" xfId="10" applyNumberFormat="1" applyFont="1" applyFill="1" applyBorder="1" applyAlignment="1" applyProtection="1">
      <alignment horizontal="left" vertical="center" wrapText="1"/>
      <protection locked="0"/>
    </xf>
    <xf numFmtId="49" fontId="80" fillId="16" borderId="21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6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65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66" xfId="10" applyNumberFormat="1" applyFont="1" applyFill="1" applyBorder="1" applyAlignment="1" applyProtection="1">
      <alignment horizontal="right" vertical="center"/>
      <protection locked="0"/>
    </xf>
    <xf numFmtId="10" fontId="75" fillId="0" borderId="266" xfId="10" applyNumberFormat="1" applyFont="1" applyFill="1" applyBorder="1" applyAlignment="1" applyProtection="1">
      <alignment horizontal="right" vertical="center"/>
      <protection locked="0"/>
    </xf>
    <xf numFmtId="49" fontId="75" fillId="12" borderId="25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67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68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6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12" xfId="10" applyNumberFormat="1" applyFont="1" applyFill="1" applyBorder="1" applyAlignment="1" applyProtection="1">
      <alignment vertical="center" wrapText="1"/>
      <protection locked="0"/>
    </xf>
    <xf numFmtId="3" fontId="75" fillId="0" borderId="272" xfId="10" applyNumberFormat="1" applyFont="1" applyFill="1" applyBorder="1" applyAlignment="1" applyProtection="1">
      <alignment horizontal="right" vertical="center"/>
      <protection locked="0"/>
    </xf>
    <xf numFmtId="10" fontId="75" fillId="0" borderId="272" xfId="10" applyNumberFormat="1" applyFont="1" applyFill="1" applyBorder="1" applyAlignment="1" applyProtection="1">
      <alignment horizontal="right" vertical="center"/>
      <protection locked="0"/>
    </xf>
    <xf numFmtId="3" fontId="75" fillId="0" borderId="273" xfId="10" applyNumberFormat="1" applyFont="1" applyFill="1" applyBorder="1" applyAlignment="1" applyProtection="1">
      <alignment horizontal="right" vertical="center"/>
      <protection locked="0"/>
    </xf>
    <xf numFmtId="10" fontId="75" fillId="0" borderId="273" xfId="10" applyNumberFormat="1" applyFont="1" applyFill="1" applyBorder="1" applyAlignment="1" applyProtection="1">
      <alignment horizontal="right" vertical="center"/>
      <protection locked="0"/>
    </xf>
    <xf numFmtId="49" fontId="75" fillId="12" borderId="27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75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76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77" xfId="10" applyNumberFormat="1" applyFont="1" applyFill="1" applyBorder="1" applyAlignment="1" applyProtection="1">
      <alignment horizontal="left" vertical="center" wrapText="1"/>
      <protection locked="0"/>
    </xf>
    <xf numFmtId="49" fontId="80" fillId="3" borderId="21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78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79" xfId="10" applyNumberFormat="1" applyFont="1" applyFill="1" applyBorder="1" applyAlignment="1" applyProtection="1">
      <alignment horizontal="left" vertical="center" wrapText="1"/>
      <protection locked="0"/>
    </xf>
    <xf numFmtId="3" fontId="79" fillId="0" borderId="213" xfId="10" applyNumberFormat="1" applyFont="1" applyFill="1" applyBorder="1" applyAlignment="1" applyProtection="1">
      <alignment horizontal="right" vertical="center"/>
      <protection locked="0"/>
    </xf>
    <xf numFmtId="49" fontId="75" fillId="12" borderId="28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81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78" xfId="10" applyNumberFormat="1" applyFont="1" applyFill="1" applyBorder="1" applyAlignment="1" applyProtection="1">
      <alignment vertical="center" wrapText="1"/>
      <protection locked="0"/>
    </xf>
    <xf numFmtId="49" fontId="75" fillId="12" borderId="282" xfId="10" applyNumberFormat="1" applyFont="1" applyFill="1" applyBorder="1" applyAlignment="1" applyProtection="1">
      <alignment vertical="center" wrapText="1"/>
      <protection locked="0"/>
    </xf>
    <xf numFmtId="49" fontId="80" fillId="15" borderId="259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267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213" xfId="10" applyNumberFormat="1" applyFont="1" applyFill="1" applyBorder="1" applyAlignment="1" applyProtection="1">
      <alignment vertical="center" wrapText="1"/>
      <protection locked="0"/>
    </xf>
    <xf numFmtId="4" fontId="29" fillId="0" borderId="0" xfId="10" applyNumberFormat="1" applyFont="1" applyFill="1" applyBorder="1" applyAlignment="1" applyProtection="1">
      <alignment horizontal="left" vertical="center"/>
      <protection locked="0"/>
    </xf>
    <xf numFmtId="49" fontId="75" fillId="12" borderId="283" xfId="10" applyNumberFormat="1" applyFont="1" applyFill="1" applyBorder="1" applyAlignment="1" applyProtection="1">
      <alignment horizontal="center" vertical="center" wrapText="1"/>
      <protection locked="0"/>
    </xf>
    <xf numFmtId="2" fontId="75" fillId="0" borderId="15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84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85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58" xfId="10" applyNumberFormat="1" applyFont="1" applyFill="1" applyBorder="1" applyAlignment="1" applyProtection="1">
      <alignment horizontal="center" vertical="center" wrapText="1"/>
      <protection locked="0"/>
    </xf>
    <xf numFmtId="2" fontId="75" fillId="0" borderId="282" xfId="10" applyNumberFormat="1" applyFont="1" applyFill="1" applyBorder="1" applyAlignment="1" applyProtection="1">
      <alignment vertical="center" wrapText="1"/>
      <protection locked="0"/>
    </xf>
    <xf numFmtId="2" fontId="75" fillId="0" borderId="94" xfId="10" applyNumberFormat="1" applyFont="1" applyFill="1" applyBorder="1" applyAlignment="1" applyProtection="1">
      <alignment vertical="center" wrapText="1"/>
      <protection locked="0"/>
    </xf>
    <xf numFmtId="10" fontId="75" fillId="0" borderId="94" xfId="10" applyNumberFormat="1" applyFont="1" applyFill="1" applyBorder="1" applyAlignment="1" applyProtection="1">
      <alignment vertical="center" wrapText="1"/>
      <protection locked="0"/>
    </xf>
    <xf numFmtId="49" fontId="75" fillId="0" borderId="283" xfId="10" applyNumberFormat="1" applyFont="1" applyFill="1" applyBorder="1" applyAlignment="1" applyProtection="1">
      <alignment horizontal="center" vertical="center" wrapText="1"/>
      <protection locked="0"/>
    </xf>
    <xf numFmtId="49" fontId="29" fillId="16" borderId="25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86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87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88" xfId="10" applyNumberFormat="1" applyFont="1" applyFill="1" applyBorder="1" applyAlignment="1" applyProtection="1">
      <alignment horizontal="right" vertical="center"/>
      <protection locked="0"/>
    </xf>
    <xf numFmtId="10" fontId="75" fillId="0" borderId="288" xfId="10" applyNumberFormat="1" applyFont="1" applyFill="1" applyBorder="1" applyAlignment="1" applyProtection="1">
      <alignment horizontal="right" vertical="center"/>
      <protection locked="0"/>
    </xf>
    <xf numFmtId="3" fontId="75" fillId="0" borderId="289" xfId="10" applyNumberFormat="1" applyFont="1" applyFill="1" applyBorder="1" applyAlignment="1" applyProtection="1">
      <alignment horizontal="right" vertical="center"/>
      <protection locked="0"/>
    </xf>
    <xf numFmtId="10" fontId="75" fillId="0" borderId="289" xfId="10" applyNumberFormat="1" applyFont="1" applyFill="1" applyBorder="1" applyAlignment="1" applyProtection="1">
      <alignment horizontal="right" vertical="center"/>
      <protection locked="0"/>
    </xf>
    <xf numFmtId="49" fontId="75" fillId="12" borderId="29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82" xfId="10" applyNumberFormat="1" applyFont="1" applyFill="1" applyBorder="1" applyAlignment="1" applyProtection="1">
      <alignment horizontal="left" vertical="center" wrapText="1"/>
      <protection locked="0"/>
    </xf>
    <xf numFmtId="3" fontId="79" fillId="0" borderId="272" xfId="10" applyNumberFormat="1" applyFont="1" applyFill="1" applyBorder="1" applyAlignment="1" applyProtection="1">
      <alignment horizontal="right" vertical="center"/>
      <protection locked="0"/>
    </xf>
    <xf numFmtId="10" fontId="79" fillId="0" borderId="272" xfId="10" applyNumberFormat="1" applyFont="1" applyFill="1" applyBorder="1" applyAlignment="1" applyProtection="1">
      <alignment horizontal="right" vertical="center"/>
      <protection locked="0"/>
    </xf>
    <xf numFmtId="49" fontId="75" fillId="12" borderId="260" xfId="10" applyNumberFormat="1" applyFont="1" applyFill="1" applyBorder="1" applyAlignment="1" applyProtection="1">
      <alignment horizontal="center" vertical="center" wrapText="1"/>
      <protection locked="0"/>
    </xf>
    <xf numFmtId="2" fontId="75" fillId="0" borderId="263" xfId="10" applyNumberFormat="1" applyFont="1" applyFill="1" applyBorder="1" applyAlignment="1" applyProtection="1">
      <alignment horizontal="left" vertical="center" wrapText="1"/>
      <protection locked="0"/>
    </xf>
    <xf numFmtId="2" fontId="75" fillId="0" borderId="275" xfId="10" applyNumberFormat="1" applyFont="1" applyFill="1" applyBorder="1" applyAlignment="1" applyProtection="1">
      <alignment horizontal="left" vertical="center" wrapText="1"/>
      <protection locked="0"/>
    </xf>
    <xf numFmtId="49" fontId="79" fillId="14" borderId="291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292" xfId="10" applyNumberFormat="1" applyFont="1" applyFill="1" applyBorder="1" applyAlignment="1" applyProtection="1">
      <alignment horizontal="left" vertical="center" wrapText="1"/>
      <protection locked="0"/>
    </xf>
    <xf numFmtId="3" fontId="79" fillId="10" borderId="23" xfId="10" applyNumberFormat="1" applyFont="1" applyFill="1" applyBorder="1" applyAlignment="1" applyProtection="1">
      <alignment horizontal="right" vertical="center"/>
      <protection locked="0"/>
    </xf>
    <xf numFmtId="49" fontId="80" fillId="15" borderId="149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5" xfId="10" applyNumberFormat="1" applyFont="1" applyFill="1" applyBorder="1" applyAlignment="1" applyProtection="1">
      <alignment horizontal="right" vertical="center"/>
      <protection locked="0"/>
    </xf>
    <xf numFmtId="10" fontId="80" fillId="6" borderId="5" xfId="10" applyNumberFormat="1" applyFont="1" applyFill="1" applyBorder="1" applyAlignment="1" applyProtection="1">
      <alignment horizontal="right" vertical="center"/>
      <protection locked="0"/>
    </xf>
    <xf numFmtId="3" fontId="79" fillId="0" borderId="295" xfId="10" applyNumberFormat="1" applyFont="1" applyFill="1" applyBorder="1" applyAlignment="1" applyProtection="1">
      <alignment horizontal="right" vertical="center"/>
      <protection locked="0"/>
    </xf>
    <xf numFmtId="3" fontId="75" fillId="0" borderId="285" xfId="10" applyNumberFormat="1" applyFont="1" applyFill="1" applyBorder="1" applyAlignment="1" applyProtection="1">
      <alignment horizontal="right" vertical="center"/>
      <protection locked="0"/>
    </xf>
    <xf numFmtId="3" fontId="75" fillId="0" borderId="298" xfId="10" applyNumberFormat="1" applyFont="1" applyFill="1" applyBorder="1" applyAlignment="1" applyProtection="1">
      <alignment horizontal="right" vertical="center"/>
      <protection locked="0"/>
    </xf>
    <xf numFmtId="10" fontId="75" fillId="0" borderId="298" xfId="10" applyNumberFormat="1" applyFont="1" applyFill="1" applyBorder="1" applyAlignment="1" applyProtection="1">
      <alignment horizontal="right" vertical="center"/>
      <protection locked="0"/>
    </xf>
    <xf numFmtId="49" fontId="75" fillId="12" borderId="299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0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01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84" xfId="10" applyNumberFormat="1" applyFont="1" applyFill="1" applyBorder="1" applyAlignment="1" applyProtection="1">
      <alignment horizontal="right" vertical="center"/>
      <protection locked="0"/>
    </xf>
    <xf numFmtId="3" fontId="75" fillId="0" borderId="302" xfId="10" applyNumberFormat="1" applyFont="1" applyFill="1" applyBorder="1" applyAlignment="1" applyProtection="1">
      <alignment horizontal="right" vertical="center"/>
      <protection locked="0"/>
    </xf>
    <xf numFmtId="10" fontId="75" fillId="0" borderId="302" xfId="10" applyNumberFormat="1" applyFont="1" applyFill="1" applyBorder="1" applyAlignment="1" applyProtection="1">
      <alignment horizontal="right" vertical="center"/>
      <protection locked="0"/>
    </xf>
    <xf numFmtId="49" fontId="75" fillId="12" borderId="30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04" xfId="10" applyNumberFormat="1" applyFont="1" applyFill="1" applyBorder="1" applyAlignment="1" applyProtection="1">
      <alignment horizontal="left" vertical="center" wrapText="1"/>
      <protection locked="0"/>
    </xf>
    <xf numFmtId="10" fontId="75" fillId="0" borderId="284" xfId="10" applyNumberFormat="1" applyFont="1" applyFill="1" applyBorder="1" applyAlignment="1" applyProtection="1">
      <alignment horizontal="right" vertical="center"/>
      <protection locked="0"/>
    </xf>
    <xf numFmtId="3" fontId="79" fillId="0" borderId="285" xfId="10" applyNumberFormat="1" applyFont="1" applyFill="1" applyBorder="1" applyAlignment="1" applyProtection="1">
      <alignment horizontal="right" vertical="center"/>
      <protection locked="0"/>
    </xf>
    <xf numFmtId="49" fontId="75" fillId="12" borderId="305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06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97" xfId="10" applyNumberFormat="1" applyFont="1" applyFill="1" applyBorder="1" applyAlignment="1" applyProtection="1">
      <alignment horizontal="right" vertical="center"/>
      <protection locked="0"/>
    </xf>
    <xf numFmtId="3" fontId="75" fillId="0" borderId="261" xfId="10" applyNumberFormat="1" applyFont="1" applyFill="1" applyBorder="1" applyAlignment="1" applyProtection="1">
      <alignment vertical="center"/>
      <protection locked="0"/>
    </xf>
    <xf numFmtId="10" fontId="75" fillId="0" borderId="261" xfId="10" applyNumberFormat="1" applyFont="1" applyFill="1" applyBorder="1" applyAlignment="1" applyProtection="1">
      <alignment vertical="center"/>
      <protection locked="0"/>
    </xf>
    <xf numFmtId="3" fontId="75" fillId="0" borderId="88" xfId="10" applyNumberFormat="1" applyFont="1" applyFill="1" applyBorder="1" applyAlignment="1" applyProtection="1">
      <alignment vertical="center"/>
      <protection locked="0"/>
    </xf>
    <xf numFmtId="10" fontId="75" fillId="0" borderId="88" xfId="10" applyNumberFormat="1" applyFont="1" applyFill="1" applyBorder="1" applyAlignment="1" applyProtection="1">
      <alignment vertical="center"/>
      <protection locked="0"/>
    </xf>
    <xf numFmtId="0" fontId="75" fillId="0" borderId="0" xfId="10" applyNumberFormat="1" applyFont="1" applyFill="1" applyBorder="1" applyAlignment="1" applyProtection="1">
      <alignment vertical="center"/>
      <protection locked="0"/>
    </xf>
    <xf numFmtId="0" fontId="75" fillId="0" borderId="213" xfId="10" applyNumberFormat="1" applyFont="1" applyFill="1" applyBorder="1" applyAlignment="1" applyProtection="1">
      <alignment vertical="center"/>
      <protection locked="0"/>
    </xf>
    <xf numFmtId="49" fontId="75" fillId="12" borderId="30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5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10" xfId="10" applyNumberFormat="1" applyFont="1" applyFill="1" applyBorder="1" applyAlignment="1" applyProtection="1">
      <alignment horizontal="center" vertical="center" wrapText="1"/>
      <protection locked="0"/>
    </xf>
    <xf numFmtId="0" fontId="29" fillId="0" borderId="286" xfId="0" applyFont="1" applyBorder="1" applyAlignment="1">
      <alignment horizontal="left" vertical="center" wrapText="1"/>
    </xf>
    <xf numFmtId="2" fontId="75" fillId="0" borderId="279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311" xfId="10" applyNumberFormat="1" applyFont="1" applyFill="1" applyBorder="1" applyAlignment="1" applyProtection="1">
      <alignment horizontal="right" vertical="center"/>
      <protection locked="0"/>
    </xf>
    <xf numFmtId="10" fontId="75" fillId="0" borderId="311" xfId="10" applyNumberFormat="1" applyFont="1" applyFill="1" applyBorder="1" applyAlignment="1" applyProtection="1">
      <alignment horizontal="right" vertical="center"/>
      <protection locked="0"/>
    </xf>
    <xf numFmtId="49" fontId="75" fillId="12" borderId="312" xfId="10" applyNumberFormat="1" applyFont="1" applyFill="1" applyBorder="1" applyAlignment="1" applyProtection="1">
      <alignment horizontal="center" vertical="center" wrapText="1"/>
      <protection locked="0"/>
    </xf>
    <xf numFmtId="3" fontId="79" fillId="0" borderId="311" xfId="10" applyNumberFormat="1" applyFont="1" applyFill="1" applyBorder="1" applyAlignment="1" applyProtection="1">
      <alignment horizontal="right" vertical="center"/>
      <protection locked="0"/>
    </xf>
    <xf numFmtId="10" fontId="79" fillId="0" borderId="311" xfId="10" applyNumberFormat="1" applyFont="1" applyFill="1" applyBorder="1" applyAlignment="1" applyProtection="1">
      <alignment horizontal="right" vertical="center"/>
      <protection locked="0"/>
    </xf>
    <xf numFmtId="3" fontId="75" fillId="0" borderId="317" xfId="10" applyNumberFormat="1" applyFont="1" applyFill="1" applyBorder="1" applyAlignment="1" applyProtection="1">
      <alignment horizontal="right" vertical="center"/>
      <protection locked="0"/>
    </xf>
    <xf numFmtId="10" fontId="75" fillId="0" borderId="317" xfId="10" applyNumberFormat="1" applyFont="1" applyFill="1" applyBorder="1" applyAlignment="1" applyProtection="1">
      <alignment horizontal="right" vertical="center"/>
      <protection locked="0"/>
    </xf>
    <xf numFmtId="49" fontId="75" fillId="12" borderId="310" xfId="10" applyNumberFormat="1" applyFont="1" applyFill="1" applyBorder="1" applyAlignment="1" applyProtection="1">
      <alignment vertical="center" wrapText="1"/>
      <protection locked="0"/>
    </xf>
    <xf numFmtId="49" fontId="75" fillId="12" borderId="307" xfId="10" applyNumberFormat="1" applyFont="1" applyFill="1" applyBorder="1" applyAlignment="1" applyProtection="1">
      <alignment vertical="center" wrapText="1"/>
      <protection locked="0"/>
    </xf>
    <xf numFmtId="49" fontId="75" fillId="12" borderId="289" xfId="10" applyNumberFormat="1" applyFont="1" applyFill="1" applyBorder="1" applyAlignment="1" applyProtection="1">
      <alignment vertical="center" wrapText="1"/>
      <protection locked="0"/>
    </xf>
    <xf numFmtId="10" fontId="75" fillId="12" borderId="289" xfId="10" applyNumberFormat="1" applyFont="1" applyFill="1" applyBorder="1" applyAlignment="1" applyProtection="1">
      <alignment vertical="center" wrapText="1"/>
      <protection locked="0"/>
    </xf>
    <xf numFmtId="49" fontId="75" fillId="12" borderId="28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18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19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76" xfId="10" applyNumberFormat="1" applyFont="1" applyFill="1" applyBorder="1" applyAlignment="1" applyProtection="1">
      <alignment horizontal="right" vertical="center"/>
      <protection locked="0"/>
    </xf>
    <xf numFmtId="3" fontId="75" fillId="0" borderId="320" xfId="10" applyNumberFormat="1" applyFont="1" applyFill="1" applyBorder="1" applyAlignment="1" applyProtection="1">
      <alignment horizontal="right" vertical="center"/>
      <protection locked="0"/>
    </xf>
    <xf numFmtId="10" fontId="75" fillId="0" borderId="320" xfId="10" applyNumberFormat="1" applyFont="1" applyFill="1" applyBorder="1" applyAlignment="1" applyProtection="1">
      <alignment horizontal="right" vertical="center"/>
      <protection locked="0"/>
    </xf>
    <xf numFmtId="49" fontId="79" fillId="13" borderId="8" xfId="10" applyNumberFormat="1" applyFont="1" applyFill="1" applyBorder="1" applyAlignment="1" applyProtection="1">
      <alignment horizontal="center" vertical="center" wrapText="1"/>
      <protection locked="0"/>
    </xf>
    <xf numFmtId="49" fontId="79" fillId="13" borderId="21" xfId="10" applyNumberFormat="1" applyFont="1" applyFill="1" applyBorder="1" applyAlignment="1" applyProtection="1">
      <alignment horizontal="center" vertical="center" wrapText="1"/>
      <protection locked="0"/>
    </xf>
    <xf numFmtId="49" fontId="79" fillId="13" borderId="82" xfId="10" applyNumberFormat="1" applyFont="1" applyFill="1" applyBorder="1" applyAlignment="1" applyProtection="1">
      <alignment horizontal="center" vertical="center" wrapText="1"/>
      <protection locked="0"/>
    </xf>
    <xf numFmtId="49" fontId="79" fillId="13" borderId="83" xfId="10" applyNumberFormat="1" applyFont="1" applyFill="1" applyBorder="1" applyAlignment="1" applyProtection="1">
      <alignment horizontal="left" vertical="center" wrapText="1"/>
      <protection locked="0"/>
    </xf>
    <xf numFmtId="3" fontId="79" fillId="2" borderId="321" xfId="10" applyNumberFormat="1" applyFont="1" applyFill="1" applyBorder="1" applyAlignment="1" applyProtection="1">
      <alignment horizontal="right" vertical="center"/>
      <protection locked="0"/>
    </xf>
    <xf numFmtId="10" fontId="79" fillId="2" borderId="321" xfId="10" applyNumberFormat="1" applyFont="1" applyFill="1" applyBorder="1" applyAlignment="1" applyProtection="1">
      <alignment horizontal="right" vertical="center"/>
      <protection locked="0"/>
    </xf>
    <xf numFmtId="3" fontId="75" fillId="0" borderId="322" xfId="10" applyNumberFormat="1" applyFont="1" applyFill="1" applyBorder="1" applyAlignment="1" applyProtection="1">
      <alignment horizontal="right" vertical="center"/>
      <protection locked="0"/>
    </xf>
    <xf numFmtId="10" fontId="75" fillId="0" borderId="322" xfId="10" applyNumberFormat="1" applyFont="1" applyFill="1" applyBorder="1" applyAlignment="1" applyProtection="1">
      <alignment horizontal="right" vertical="center"/>
      <protection locked="0"/>
    </xf>
    <xf numFmtId="3" fontId="75" fillId="3" borderId="207" xfId="10" applyNumberFormat="1" applyFont="1" applyFill="1" applyBorder="1" applyAlignment="1" applyProtection="1">
      <alignment horizontal="right" vertical="center"/>
      <protection locked="0"/>
    </xf>
    <xf numFmtId="10" fontId="75" fillId="3" borderId="207" xfId="10" applyNumberFormat="1" applyFont="1" applyFill="1" applyBorder="1" applyAlignment="1" applyProtection="1">
      <alignment horizontal="right" vertical="center"/>
      <protection locked="0"/>
    </xf>
    <xf numFmtId="49" fontId="75" fillId="16" borderId="212" xfId="10" applyNumberFormat="1" applyFont="1" applyFill="1" applyBorder="1" applyAlignment="1" applyProtection="1">
      <alignment horizontal="center" vertical="center" wrapText="1"/>
      <protection locked="0"/>
    </xf>
    <xf numFmtId="3" fontId="75" fillId="0" borderId="323" xfId="10" applyNumberFormat="1" applyFont="1" applyFill="1" applyBorder="1" applyAlignment="1" applyProtection="1">
      <alignment horizontal="right" vertical="center"/>
      <protection locked="0"/>
    </xf>
    <xf numFmtId="10" fontId="75" fillId="0" borderId="323" xfId="10" applyNumberFormat="1" applyFont="1" applyFill="1" applyBorder="1" applyAlignment="1" applyProtection="1">
      <alignment horizontal="right" vertical="center"/>
      <protection locked="0"/>
    </xf>
    <xf numFmtId="3" fontId="81" fillId="0" borderId="323" xfId="10" applyNumberFormat="1" applyFont="1" applyFill="1" applyBorder="1" applyAlignment="1" applyProtection="1">
      <alignment horizontal="right" vertical="center"/>
      <protection locked="0"/>
    </xf>
    <xf numFmtId="10" fontId="81" fillId="0" borderId="323" xfId="10" applyNumberFormat="1" applyFont="1" applyFill="1" applyBorder="1" applyAlignment="1" applyProtection="1">
      <alignment horizontal="right" vertical="center"/>
      <protection locked="0"/>
    </xf>
    <xf numFmtId="49" fontId="75" fillId="0" borderId="290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282" xfId="10" applyNumberFormat="1" applyFont="1" applyFill="1" applyBorder="1" applyAlignment="1" applyProtection="1">
      <alignment horizontal="left" vertical="center" wrapText="1"/>
      <protection locked="0"/>
    </xf>
    <xf numFmtId="3" fontId="80" fillId="6" borderId="324" xfId="10" applyNumberFormat="1" applyFont="1" applyFill="1" applyBorder="1" applyAlignment="1" applyProtection="1">
      <alignment horizontal="right" vertical="center"/>
      <protection locked="0"/>
    </xf>
    <xf numFmtId="10" fontId="80" fillId="6" borderId="324" xfId="10" applyNumberFormat="1" applyFont="1" applyFill="1" applyBorder="1" applyAlignment="1" applyProtection="1">
      <alignment horizontal="right" vertical="center"/>
      <protection locked="0"/>
    </xf>
    <xf numFmtId="49" fontId="75" fillId="0" borderId="259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267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11" xfId="10" applyNumberFormat="1" applyFont="1" applyFill="1" applyBorder="1" applyAlignment="1" applyProtection="1">
      <alignment horizontal="right" vertical="center"/>
      <protection locked="0"/>
    </xf>
    <xf numFmtId="10" fontId="75" fillId="0" borderId="211" xfId="10" applyNumberFormat="1" applyFont="1" applyFill="1" applyBorder="1" applyAlignment="1" applyProtection="1">
      <alignment horizontal="right" vertical="center"/>
      <protection locked="0"/>
    </xf>
    <xf numFmtId="3" fontId="81" fillId="0" borderId="322" xfId="10" applyNumberFormat="1" applyFont="1" applyFill="1" applyBorder="1" applyAlignment="1" applyProtection="1">
      <alignment horizontal="right" vertical="center"/>
      <protection locked="0"/>
    </xf>
    <xf numFmtId="10" fontId="81" fillId="0" borderId="322" xfId="10" applyNumberFormat="1" applyFont="1" applyFill="1" applyBorder="1" applyAlignment="1" applyProtection="1">
      <alignment horizontal="right" vertical="center"/>
      <protection locked="0"/>
    </xf>
    <xf numFmtId="49" fontId="75" fillId="0" borderId="260" xfId="10" applyNumberFormat="1" applyFont="1" applyFill="1" applyBorder="1" applyAlignment="1" applyProtection="1">
      <alignment horizontal="left" vertical="center" wrapText="1"/>
      <protection locked="0"/>
    </xf>
    <xf numFmtId="10" fontId="80" fillId="6" borderId="217" xfId="10" applyNumberFormat="1" applyFont="1" applyFill="1" applyBorder="1" applyAlignment="1" applyProtection="1">
      <alignment horizontal="right" vertical="center"/>
      <protection locked="0"/>
    </xf>
    <xf numFmtId="3" fontId="75" fillId="0" borderId="282" xfId="10" applyNumberFormat="1" applyFont="1" applyFill="1" applyBorder="1" applyAlignment="1" applyProtection="1">
      <alignment horizontal="right" vertical="center"/>
      <protection locked="0"/>
    </xf>
    <xf numFmtId="3" fontId="75" fillId="0" borderId="260" xfId="10" applyNumberFormat="1" applyFont="1" applyFill="1" applyBorder="1" applyAlignment="1" applyProtection="1">
      <alignment horizontal="right" vertical="center"/>
      <protection locked="0"/>
    </xf>
    <xf numFmtId="3" fontId="79" fillId="10" borderId="213" xfId="10" applyNumberFormat="1" applyFont="1" applyFill="1" applyBorder="1" applyAlignment="1" applyProtection="1">
      <alignment horizontal="right" vertical="center"/>
      <protection locked="0"/>
    </xf>
    <xf numFmtId="3" fontId="79" fillId="10" borderId="137" xfId="10" applyNumberFormat="1" applyFont="1" applyFill="1" applyBorder="1" applyAlignment="1" applyProtection="1">
      <alignment horizontal="right" vertical="center"/>
      <protection locked="0"/>
    </xf>
    <xf numFmtId="10" fontId="79" fillId="10" borderId="213" xfId="10" applyNumberFormat="1" applyFont="1" applyFill="1" applyBorder="1" applyAlignment="1" applyProtection="1">
      <alignment horizontal="right" vertical="center"/>
      <protection locked="0"/>
    </xf>
    <xf numFmtId="49" fontId="29" fillId="0" borderId="263" xfId="0" applyNumberFormat="1" applyFont="1" applyBorder="1" applyAlignment="1">
      <alignment vertical="center" wrapText="1"/>
    </xf>
    <xf numFmtId="49" fontId="29" fillId="0" borderId="267" xfId="0" applyNumberFormat="1" applyFont="1" applyBorder="1" applyAlignment="1">
      <alignment vertical="center" wrapText="1"/>
    </xf>
    <xf numFmtId="49" fontId="29" fillId="0" borderId="106" xfId="0" applyNumberFormat="1" applyFont="1" applyBorder="1" applyAlignment="1">
      <alignment vertical="center" wrapText="1"/>
    </xf>
    <xf numFmtId="49" fontId="75" fillId="12" borderId="327" xfId="10" applyNumberFormat="1" applyFont="1" applyFill="1" applyBorder="1" applyAlignment="1" applyProtection="1">
      <alignment horizontal="center" vertical="center" wrapText="1"/>
      <protection locked="0"/>
    </xf>
    <xf numFmtId="49" fontId="29" fillId="0" borderId="319" xfId="0" applyNumberFormat="1" applyFont="1" applyBorder="1" applyAlignment="1">
      <alignment vertical="center" wrapText="1"/>
    </xf>
    <xf numFmtId="49" fontId="29" fillId="0" borderId="276" xfId="0" applyNumberFormat="1" applyFont="1" applyBorder="1" applyAlignment="1">
      <alignment vertical="center" wrapText="1"/>
    </xf>
    <xf numFmtId="3" fontId="29" fillId="3" borderId="51" xfId="10" applyNumberFormat="1" applyFont="1" applyFill="1" applyBorder="1" applyAlignment="1" applyProtection="1">
      <alignment horizontal="right" vertical="center"/>
      <protection locked="0"/>
    </xf>
    <xf numFmtId="49" fontId="75" fillId="12" borderId="329" xfId="10" applyNumberFormat="1" applyFont="1" applyFill="1" applyBorder="1" applyAlignment="1" applyProtection="1">
      <alignment horizontal="center" vertical="center" wrapText="1"/>
      <protection locked="0"/>
    </xf>
    <xf numFmtId="49" fontId="29" fillId="0" borderId="168" xfId="0" applyNumberFormat="1" applyFont="1" applyBorder="1" applyAlignment="1">
      <alignment vertical="center" wrapText="1"/>
    </xf>
    <xf numFmtId="49" fontId="75" fillId="12" borderId="331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32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3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34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335" xfId="10" applyNumberFormat="1" applyFont="1" applyFill="1" applyBorder="1" applyAlignment="1" applyProtection="1">
      <alignment horizontal="right" vertical="center"/>
      <protection locked="0"/>
    </xf>
    <xf numFmtId="10" fontId="75" fillId="0" borderId="335" xfId="10" applyNumberFormat="1" applyFont="1" applyFill="1" applyBorder="1" applyAlignment="1" applyProtection="1">
      <alignment horizontal="right" vertical="center"/>
      <protection locked="0"/>
    </xf>
    <xf numFmtId="49" fontId="75" fillId="12" borderId="336" xfId="10" applyNumberFormat="1" applyFont="1" applyFill="1" applyBorder="1" applyAlignment="1" applyProtection="1">
      <alignment vertical="center" wrapText="1"/>
      <protection locked="0"/>
    </xf>
    <xf numFmtId="49" fontId="75" fillId="12" borderId="33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38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341" xfId="10" applyNumberFormat="1" applyFont="1" applyFill="1" applyBorder="1" applyAlignment="1" applyProtection="1">
      <alignment horizontal="right" vertical="center"/>
      <protection locked="0"/>
    </xf>
    <xf numFmtId="10" fontId="75" fillId="0" borderId="341" xfId="10" applyNumberFormat="1" applyFont="1" applyFill="1" applyBorder="1" applyAlignment="1" applyProtection="1">
      <alignment horizontal="right" vertical="center"/>
      <protection locked="0"/>
    </xf>
    <xf numFmtId="49" fontId="75" fillId="0" borderId="342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330" xfId="10" applyNumberFormat="1" applyFont="1" applyFill="1" applyBorder="1" applyAlignment="1" applyProtection="1">
      <alignment horizontal="left" vertical="center" wrapText="1"/>
      <protection locked="0"/>
    </xf>
    <xf numFmtId="49" fontId="75" fillId="16" borderId="21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3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3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4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45" xfId="10" applyNumberFormat="1" applyFont="1" applyFill="1" applyBorder="1" applyAlignment="1" applyProtection="1">
      <alignment horizontal="left" vertical="center" wrapText="1"/>
      <protection locked="0"/>
    </xf>
    <xf numFmtId="3" fontId="75" fillId="3" borderId="335" xfId="10" applyNumberFormat="1" applyFont="1" applyFill="1" applyBorder="1" applyAlignment="1" applyProtection="1">
      <alignment horizontal="right" vertical="center"/>
      <protection locked="0"/>
    </xf>
    <xf numFmtId="49" fontId="75" fillId="12" borderId="347" xfId="10" applyNumberFormat="1" applyFont="1" applyFill="1" applyBorder="1" applyAlignment="1" applyProtection="1">
      <alignment horizontal="center" vertical="center" wrapText="1"/>
      <protection locked="0"/>
    </xf>
    <xf numFmtId="49" fontId="29" fillId="0" borderId="279" xfId="0" applyNumberFormat="1" applyFont="1" applyBorder="1" applyAlignment="1">
      <alignment vertical="center" wrapText="1"/>
    </xf>
    <xf numFmtId="49" fontId="75" fillId="12" borderId="18" xfId="10" applyNumberFormat="1" applyFont="1" applyFill="1" applyBorder="1" applyAlignment="1" applyProtection="1">
      <alignment vertical="center" wrapText="1"/>
      <protection locked="0"/>
    </xf>
    <xf numFmtId="49" fontId="75" fillId="12" borderId="348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49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95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295" xfId="10" applyNumberFormat="1" applyFont="1" applyFill="1" applyBorder="1" applyAlignment="1" applyProtection="1">
      <alignment horizontal="right" vertical="center"/>
      <protection locked="0"/>
    </xf>
    <xf numFmtId="49" fontId="75" fillId="12" borderId="350" xfId="10" applyNumberFormat="1" applyFont="1" applyFill="1" applyBorder="1" applyAlignment="1" applyProtection="1">
      <alignment horizontal="center" vertical="center" wrapText="1"/>
      <protection locked="0"/>
    </xf>
    <xf numFmtId="10" fontId="75" fillId="0" borderId="351" xfId="10" applyNumberFormat="1" applyFont="1" applyFill="1" applyBorder="1" applyAlignment="1" applyProtection="1">
      <alignment horizontal="right" vertical="center"/>
      <protection locked="0"/>
    </xf>
    <xf numFmtId="49" fontId="75" fillId="12" borderId="352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353" xfId="10" applyNumberFormat="1" applyFont="1" applyFill="1" applyBorder="1" applyAlignment="1" applyProtection="1">
      <alignment horizontal="right" vertical="center"/>
      <protection locked="0"/>
    </xf>
    <xf numFmtId="3" fontId="75" fillId="0" borderId="351" xfId="10" applyNumberFormat="1" applyFont="1" applyFill="1" applyBorder="1" applyAlignment="1" applyProtection="1">
      <alignment horizontal="right" vertical="center"/>
      <protection locked="0"/>
    </xf>
    <xf numFmtId="49" fontId="75" fillId="12" borderId="35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55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356" xfId="10" applyNumberFormat="1" applyFont="1" applyFill="1" applyBorder="1" applyAlignment="1" applyProtection="1">
      <alignment horizontal="right" vertical="center"/>
      <protection locked="0"/>
    </xf>
    <xf numFmtId="3" fontId="79" fillId="3" borderId="213" xfId="10" applyNumberFormat="1" applyFont="1" applyFill="1" applyBorder="1" applyAlignment="1" applyProtection="1">
      <alignment horizontal="right" vertical="center"/>
      <protection locked="0"/>
    </xf>
    <xf numFmtId="10" fontId="79" fillId="3" borderId="213" xfId="10" applyNumberFormat="1" applyFont="1" applyFill="1" applyBorder="1" applyAlignment="1" applyProtection="1">
      <alignment horizontal="right" vertical="center"/>
      <protection locked="0"/>
    </xf>
    <xf numFmtId="10" fontId="75" fillId="3" borderId="335" xfId="10" applyNumberFormat="1" applyFont="1" applyFill="1" applyBorder="1" applyAlignment="1" applyProtection="1">
      <alignment horizontal="right" vertical="center"/>
      <protection locked="0"/>
    </xf>
    <xf numFmtId="3" fontId="75" fillId="3" borderId="356" xfId="10" applyNumberFormat="1" applyFont="1" applyFill="1" applyBorder="1" applyAlignment="1" applyProtection="1">
      <alignment horizontal="right" vertical="center"/>
      <protection locked="0"/>
    </xf>
    <xf numFmtId="3" fontId="75" fillId="3" borderId="357" xfId="10" applyNumberFormat="1" applyFont="1" applyFill="1" applyBorder="1" applyAlignment="1" applyProtection="1">
      <alignment horizontal="right" vertical="center"/>
      <protection locked="0"/>
    </xf>
    <xf numFmtId="10" fontId="75" fillId="3" borderId="357" xfId="10" applyNumberFormat="1" applyFont="1" applyFill="1" applyBorder="1" applyAlignment="1" applyProtection="1">
      <alignment horizontal="right" vertical="center"/>
      <protection locked="0"/>
    </xf>
    <xf numFmtId="49" fontId="80" fillId="15" borderId="14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9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1" xfId="10" applyNumberFormat="1" applyFont="1" applyFill="1" applyBorder="1" applyAlignment="1" applyProtection="1">
      <alignment vertical="center" wrapText="1"/>
      <protection locked="0"/>
    </xf>
    <xf numFmtId="3" fontId="75" fillId="0" borderId="360" xfId="10" applyNumberFormat="1" applyFont="1" applyFill="1" applyBorder="1" applyAlignment="1" applyProtection="1">
      <alignment horizontal="right" vertical="center"/>
      <protection locked="0"/>
    </xf>
    <xf numFmtId="3" fontId="75" fillId="0" borderId="361" xfId="10" applyNumberFormat="1" applyFont="1" applyFill="1" applyBorder="1" applyAlignment="1" applyProtection="1">
      <alignment horizontal="right" vertical="center"/>
      <protection locked="0"/>
    </xf>
    <xf numFmtId="3" fontId="75" fillId="0" borderId="362" xfId="10" applyNumberFormat="1" applyFont="1" applyFill="1" applyBorder="1" applyAlignment="1" applyProtection="1">
      <alignment horizontal="right" vertical="center"/>
      <protection locked="0"/>
    </xf>
    <xf numFmtId="10" fontId="75" fillId="0" borderId="362" xfId="10" applyNumberFormat="1" applyFont="1" applyFill="1" applyBorder="1" applyAlignment="1" applyProtection="1">
      <alignment horizontal="right" vertical="center"/>
      <protection locked="0"/>
    </xf>
    <xf numFmtId="49" fontId="75" fillId="12" borderId="365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66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95" xfId="10" applyNumberFormat="1" applyFont="1" applyFill="1" applyBorder="1" applyAlignment="1" applyProtection="1">
      <alignment vertical="center" wrapText="1"/>
      <protection locked="0"/>
    </xf>
    <xf numFmtId="10" fontId="75" fillId="12" borderId="295" xfId="10" applyNumberFormat="1" applyFont="1" applyFill="1" applyBorder="1" applyAlignment="1" applyProtection="1">
      <alignment vertical="center" wrapText="1"/>
      <protection locked="0"/>
    </xf>
    <xf numFmtId="49" fontId="75" fillId="12" borderId="285" xfId="10" applyNumberFormat="1" applyFont="1" applyFill="1" applyBorder="1" applyAlignment="1" applyProtection="1">
      <alignment vertical="center" wrapText="1"/>
      <protection locked="0"/>
    </xf>
    <xf numFmtId="10" fontId="75" fillId="12" borderId="285" xfId="10" applyNumberFormat="1" applyFont="1" applyFill="1" applyBorder="1" applyAlignment="1" applyProtection="1">
      <alignment vertical="center" wrapText="1"/>
      <protection locked="0"/>
    </xf>
    <xf numFmtId="49" fontId="75" fillId="12" borderId="369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340" xfId="10" applyNumberFormat="1" applyFont="1" applyFill="1" applyBorder="1" applyAlignment="1" applyProtection="1">
      <alignment horizontal="right" vertical="center"/>
      <protection locked="0"/>
    </xf>
    <xf numFmtId="3" fontId="75" fillId="0" borderId="370" xfId="10" applyNumberFormat="1" applyFont="1" applyFill="1" applyBorder="1" applyAlignment="1" applyProtection="1">
      <alignment horizontal="right" vertical="center"/>
      <protection locked="0"/>
    </xf>
    <xf numFmtId="10" fontId="75" fillId="0" borderId="370" xfId="10" applyNumberFormat="1" applyFont="1" applyFill="1" applyBorder="1" applyAlignment="1" applyProtection="1">
      <alignment horizontal="right" vertical="center"/>
      <protection locked="0"/>
    </xf>
    <xf numFmtId="49" fontId="75" fillId="12" borderId="37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74" xfId="10" applyNumberFormat="1" applyFont="1" applyFill="1" applyBorder="1" applyAlignment="1" applyProtection="1">
      <alignment horizontal="left" vertical="center" wrapText="1"/>
      <protection locked="0"/>
    </xf>
    <xf numFmtId="3" fontId="75" fillId="0" borderId="375" xfId="10" applyNumberFormat="1" applyFont="1" applyFill="1" applyBorder="1" applyAlignment="1" applyProtection="1">
      <alignment horizontal="right" vertical="center"/>
      <protection locked="0"/>
    </xf>
    <xf numFmtId="3" fontId="75" fillId="0" borderId="376" xfId="10" applyNumberFormat="1" applyFont="1" applyFill="1" applyBorder="1" applyAlignment="1" applyProtection="1">
      <alignment horizontal="right" vertical="center"/>
      <protection locked="0"/>
    </xf>
    <xf numFmtId="3" fontId="75" fillId="0" borderId="377" xfId="10" applyNumberFormat="1" applyFont="1" applyFill="1" applyBorder="1" applyAlignment="1" applyProtection="1">
      <alignment horizontal="right" vertical="center"/>
      <protection locked="0"/>
    </xf>
    <xf numFmtId="10" fontId="75" fillId="0" borderId="377" xfId="10" applyNumberFormat="1" applyFont="1" applyFill="1" applyBorder="1" applyAlignment="1" applyProtection="1">
      <alignment horizontal="right" vertical="center"/>
      <protection locked="0"/>
    </xf>
    <xf numFmtId="49" fontId="80" fillId="15" borderId="378" xfId="10" applyNumberFormat="1" applyFont="1" applyFill="1" applyBorder="1" applyAlignment="1" applyProtection="1">
      <alignment horizontal="center" vertical="center" wrapText="1"/>
      <protection locked="0"/>
    </xf>
    <xf numFmtId="49" fontId="80" fillId="15" borderId="379" xfId="10" applyNumberFormat="1" applyFont="1" applyFill="1" applyBorder="1" applyAlignment="1" applyProtection="1">
      <alignment horizontal="left" vertical="center" wrapText="1"/>
      <protection locked="0"/>
    </xf>
    <xf numFmtId="10" fontId="75" fillId="0" borderId="375" xfId="10" applyNumberFormat="1" applyFont="1" applyFill="1" applyBorder="1" applyAlignment="1" applyProtection="1">
      <alignment horizontal="right" vertical="center"/>
      <protection locked="0"/>
    </xf>
    <xf numFmtId="49" fontId="75" fillId="12" borderId="137" xfId="10" applyNumberFormat="1" applyFont="1" applyFill="1" applyBorder="1" applyAlignment="1" applyProtection="1">
      <alignment vertical="center" wrapText="1"/>
      <protection locked="0"/>
    </xf>
    <xf numFmtId="3" fontId="79" fillId="10" borderId="5" xfId="10" applyNumberFormat="1" applyFont="1" applyFill="1" applyBorder="1" applyAlignment="1" applyProtection="1">
      <alignment horizontal="right" vertical="center"/>
      <protection locked="0"/>
    </xf>
    <xf numFmtId="10" fontId="79" fillId="10" borderId="65" xfId="10" applyNumberFormat="1" applyFont="1" applyFill="1" applyBorder="1" applyAlignment="1" applyProtection="1">
      <alignment horizontal="right" vertical="center"/>
      <protection locked="0"/>
    </xf>
    <xf numFmtId="3" fontId="75" fillId="0" borderId="278" xfId="10" applyNumberFormat="1" applyFont="1" applyFill="1" applyBorder="1" applyAlignment="1" applyProtection="1">
      <alignment horizontal="right" vertical="center"/>
      <protection locked="0"/>
    </xf>
    <xf numFmtId="10" fontId="75" fillId="0" borderId="278" xfId="10" applyNumberFormat="1" applyFont="1" applyFill="1" applyBorder="1" applyAlignment="1" applyProtection="1">
      <alignment horizontal="right" vertical="center"/>
      <protection locked="0"/>
    </xf>
    <xf numFmtId="49" fontId="79" fillId="13" borderId="65" xfId="10" applyNumberFormat="1" applyFont="1" applyFill="1" applyBorder="1" applyAlignment="1" applyProtection="1">
      <alignment vertical="top" wrapText="1"/>
      <protection locked="0"/>
    </xf>
    <xf numFmtId="10" fontId="79" fillId="13" borderId="65" xfId="10" applyNumberFormat="1" applyFont="1" applyFill="1" applyBorder="1" applyAlignment="1" applyProtection="1">
      <alignment vertical="top" wrapText="1"/>
      <protection locked="0"/>
    </xf>
    <xf numFmtId="3" fontId="80" fillId="15" borderId="65" xfId="10" applyNumberFormat="1" applyFont="1" applyFill="1" applyBorder="1" applyAlignment="1" applyProtection="1">
      <alignment horizontal="right" vertical="center" wrapText="1"/>
      <protection locked="0"/>
    </xf>
    <xf numFmtId="10" fontId="80" fillId="15" borderId="65" xfId="10" applyNumberFormat="1" applyFont="1" applyFill="1" applyBorder="1" applyAlignment="1" applyProtection="1">
      <alignment horizontal="right" vertical="center" wrapText="1"/>
      <protection locked="0"/>
    </xf>
    <xf numFmtId="3" fontId="75" fillId="0" borderId="0" xfId="10" applyNumberFormat="1" applyFont="1" applyFill="1" applyBorder="1" applyAlignment="1" applyProtection="1">
      <alignment horizontal="left" vertical="center"/>
      <protection locked="0"/>
    </xf>
    <xf numFmtId="3" fontId="75" fillId="12" borderId="199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199" xfId="10" applyNumberFormat="1" applyFont="1" applyFill="1" applyBorder="1" applyAlignment="1" applyProtection="1">
      <alignment horizontal="right" vertical="center" wrapText="1"/>
      <protection locked="0"/>
    </xf>
    <xf numFmtId="3" fontId="75" fillId="12" borderId="298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298" xfId="10" applyNumberFormat="1" applyFont="1" applyFill="1" applyBorder="1" applyAlignment="1" applyProtection="1">
      <alignment horizontal="right" vertical="center" wrapText="1"/>
      <protection locked="0"/>
    </xf>
    <xf numFmtId="3" fontId="75" fillId="12" borderId="69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69" xfId="10" applyNumberFormat="1" applyFont="1" applyFill="1" applyBorder="1" applyAlignment="1" applyProtection="1">
      <alignment horizontal="right" vertical="center" wrapText="1"/>
      <protection locked="0"/>
    </xf>
    <xf numFmtId="3" fontId="75" fillId="12" borderId="387" xfId="10" applyNumberFormat="1" applyFont="1" applyFill="1" applyBorder="1" applyAlignment="1" applyProtection="1">
      <alignment horizontal="right" vertical="center" wrapText="1"/>
      <protection locked="0"/>
    </xf>
    <xf numFmtId="10" fontId="75" fillId="12" borderId="387" xfId="10" applyNumberFormat="1" applyFont="1" applyFill="1" applyBorder="1" applyAlignment="1" applyProtection="1">
      <alignment horizontal="right" vertical="center" wrapText="1"/>
      <protection locked="0"/>
    </xf>
    <xf numFmtId="49" fontId="78" fillId="12" borderId="0" xfId="10" applyNumberFormat="1" applyFont="1" applyFill="1" applyBorder="1" applyAlignment="1" applyProtection="1">
      <alignment vertical="top" wrapText="1"/>
      <protection locked="0"/>
    </xf>
    <xf numFmtId="3" fontId="78" fillId="12" borderId="0" xfId="10" applyNumberFormat="1" applyFont="1" applyFill="1" applyBorder="1" applyAlignment="1" applyProtection="1">
      <alignment vertical="top" wrapText="1"/>
      <protection locked="0"/>
    </xf>
    <xf numFmtId="10" fontId="78" fillId="12" borderId="0" xfId="10" applyNumberFormat="1" applyFont="1" applyFill="1" applyBorder="1" applyAlignment="1" applyProtection="1">
      <alignment vertical="top" wrapText="1"/>
      <protection locked="0"/>
    </xf>
    <xf numFmtId="2" fontId="78" fillId="12" borderId="0" xfId="10" applyNumberFormat="1" applyFont="1" applyFill="1" applyBorder="1" applyAlignment="1" applyProtection="1">
      <alignment vertical="top" wrapText="1"/>
      <protection locked="0"/>
    </xf>
    <xf numFmtId="4" fontId="78" fillId="12" borderId="0" xfId="10" applyNumberFormat="1" applyFont="1" applyFill="1" applyBorder="1" applyAlignment="1" applyProtection="1">
      <alignment vertical="top" wrapText="1"/>
      <protection locked="0"/>
    </xf>
    <xf numFmtId="10" fontId="75" fillId="0" borderId="0" xfId="10" applyNumberFormat="1" applyFont="1" applyFill="1" applyBorder="1" applyAlignment="1" applyProtection="1">
      <alignment horizontal="left" vertical="center"/>
      <protection locked="0"/>
    </xf>
    <xf numFmtId="3" fontId="82" fillId="0" borderId="0" xfId="1" applyNumberFormat="1" applyFont="1" applyAlignment="1">
      <alignment vertical="center"/>
    </xf>
    <xf numFmtId="0" fontId="82" fillId="0" borderId="0" xfId="1" applyFont="1" applyAlignment="1">
      <alignment vertical="center"/>
    </xf>
    <xf numFmtId="0" fontId="82" fillId="0" borderId="0" xfId="1" applyFont="1" applyBorder="1" applyAlignment="1">
      <alignment vertical="center"/>
    </xf>
    <xf numFmtId="0" fontId="56" fillId="5" borderId="7" xfId="1" applyFont="1" applyFill="1" applyBorder="1" applyAlignment="1">
      <alignment horizontal="center" vertical="center"/>
    </xf>
    <xf numFmtId="0" fontId="83" fillId="5" borderId="7" xfId="1" applyFont="1" applyFill="1" applyBorder="1" applyAlignment="1">
      <alignment horizontal="center" vertical="center"/>
    </xf>
    <xf numFmtId="3" fontId="56" fillId="17" borderId="43" xfId="1" applyNumberFormat="1" applyFont="1" applyFill="1" applyBorder="1" applyAlignment="1">
      <alignment horizontal="right" vertical="center"/>
    </xf>
    <xf numFmtId="10" fontId="56" fillId="17" borderId="199" xfId="18" applyNumberFormat="1" applyFont="1" applyFill="1" applyBorder="1" applyAlignment="1">
      <alignment vertical="center"/>
    </xf>
    <xf numFmtId="3" fontId="56" fillId="18" borderId="389" xfId="1" applyNumberFormat="1" applyFont="1" applyFill="1" applyBorder="1" applyAlignment="1">
      <alignment horizontal="right" vertical="center"/>
    </xf>
    <xf numFmtId="10" fontId="56" fillId="18" borderId="390" xfId="23" applyNumberFormat="1" applyFont="1" applyFill="1" applyBorder="1" applyAlignment="1">
      <alignment vertical="center"/>
    </xf>
    <xf numFmtId="49" fontId="8" fillId="0" borderId="389" xfId="1" applyNumberFormat="1" applyFont="1" applyBorder="1" applyAlignment="1">
      <alignment horizontal="center" vertical="center"/>
    </xf>
    <xf numFmtId="49" fontId="8" fillId="0" borderId="389" xfId="1" applyNumberFormat="1" applyFont="1" applyFill="1" applyBorder="1" applyAlignment="1">
      <alignment horizontal="left" vertical="center" wrapText="1"/>
    </xf>
    <xf numFmtId="3" fontId="8" fillId="0" borderId="389" xfId="1" applyNumberFormat="1" applyFont="1" applyFill="1" applyBorder="1" applyAlignment="1">
      <alignment horizontal="right" vertical="center"/>
    </xf>
    <xf numFmtId="3" fontId="8" fillId="0" borderId="389" xfId="1" applyNumberFormat="1" applyFont="1" applyBorder="1" applyAlignment="1">
      <alignment horizontal="right" vertical="center"/>
    </xf>
    <xf numFmtId="3" fontId="8" fillId="0" borderId="389" xfId="1" applyNumberFormat="1" applyFont="1" applyBorder="1" applyAlignment="1">
      <alignment vertical="center"/>
    </xf>
    <xf numFmtId="10" fontId="8" fillId="0" borderId="390" xfId="18" applyNumberFormat="1" applyFont="1" applyBorder="1" applyAlignment="1">
      <alignment vertical="center"/>
    </xf>
    <xf numFmtId="0" fontId="8" fillId="0" borderId="389" xfId="1" applyFont="1" applyFill="1" applyBorder="1" applyAlignment="1">
      <alignment horizontal="left" vertical="center" wrapText="1"/>
    </xf>
    <xf numFmtId="3" fontId="8" fillId="0" borderId="389" xfId="1" applyNumberFormat="1" applyFont="1" applyFill="1" applyBorder="1" applyAlignment="1">
      <alignment vertical="center"/>
    </xf>
    <xf numFmtId="0" fontId="84" fillId="0" borderId="0" xfId="1" applyFont="1" applyAlignment="1">
      <alignment vertical="center"/>
    </xf>
    <xf numFmtId="49" fontId="8" fillId="0" borderId="389" xfId="1" applyNumberFormat="1" applyFont="1" applyFill="1" applyBorder="1" applyAlignment="1">
      <alignment vertical="center" wrapText="1"/>
    </xf>
    <xf numFmtId="3" fontId="56" fillId="17" borderId="389" xfId="1" applyNumberFormat="1" applyFont="1" applyFill="1" applyBorder="1" applyAlignment="1">
      <alignment horizontal="right" vertical="center"/>
    </xf>
    <xf numFmtId="10" fontId="56" fillId="17" borderId="390" xfId="18" applyNumberFormat="1" applyFont="1" applyFill="1" applyBorder="1" applyAlignment="1">
      <alignment vertical="center"/>
    </xf>
    <xf numFmtId="10" fontId="56" fillId="18" borderId="390" xfId="23" applyNumberFormat="1" applyFont="1" applyFill="1" applyBorder="1" applyAlignment="1">
      <alignment horizontal="right" vertical="center"/>
    </xf>
    <xf numFmtId="10" fontId="8" fillId="0" borderId="390" xfId="23" applyNumberFormat="1" applyFont="1" applyBorder="1" applyAlignment="1">
      <alignment vertical="center"/>
    </xf>
    <xf numFmtId="49" fontId="8" fillId="0" borderId="391" xfId="1" applyNumberFormat="1" applyFont="1" applyBorder="1" applyAlignment="1">
      <alignment horizontal="center" vertical="center"/>
    </xf>
    <xf numFmtId="49" fontId="8" fillId="0" borderId="391" xfId="1" applyNumberFormat="1" applyFont="1" applyFill="1" applyBorder="1" applyAlignment="1">
      <alignment horizontal="left" vertical="center" wrapText="1"/>
    </xf>
    <xf numFmtId="3" fontId="8" fillId="0" borderId="391" xfId="1" applyNumberFormat="1" applyFont="1" applyBorder="1" applyAlignment="1">
      <alignment horizontal="right" vertical="center"/>
    </xf>
    <xf numFmtId="3" fontId="8" fillId="0" borderId="391" xfId="1" applyNumberFormat="1" applyFont="1" applyBorder="1" applyAlignment="1">
      <alignment vertical="center"/>
    </xf>
    <xf numFmtId="10" fontId="8" fillId="0" borderId="393" xfId="23" applyNumberFormat="1" applyFont="1" applyBorder="1" applyAlignment="1">
      <alignment vertical="center"/>
    </xf>
    <xf numFmtId="3" fontId="56" fillId="5" borderId="7" xfId="1" applyNumberFormat="1" applyFont="1" applyFill="1" applyBorder="1" applyAlignment="1">
      <alignment horizontal="right" vertical="center"/>
    </xf>
    <xf numFmtId="10" fontId="56" fillId="5" borderId="7" xfId="23" applyNumberFormat="1" applyFont="1" applyFill="1" applyBorder="1" applyAlignment="1">
      <alignment horizontal="right" vertical="center"/>
    </xf>
    <xf numFmtId="49" fontId="82" fillId="0" borderId="0" xfId="1" applyNumberFormat="1" applyFont="1" applyAlignment="1">
      <alignment horizontal="center" vertical="center"/>
    </xf>
    <xf numFmtId="0" fontId="82" fillId="0" borderId="0" xfId="1" applyFont="1" applyAlignment="1">
      <alignment horizontal="center" vertical="center"/>
    </xf>
    <xf numFmtId="3" fontId="82" fillId="0" borderId="0" xfId="1" applyNumberFormat="1" applyFont="1" applyAlignment="1">
      <alignment horizontal="right" vertical="center"/>
    </xf>
    <xf numFmtId="49" fontId="82" fillId="0" borderId="0" xfId="1" applyNumberFormat="1" applyFont="1" applyAlignment="1">
      <alignment vertical="center"/>
    </xf>
    <xf numFmtId="0" fontId="82" fillId="0" borderId="0" xfId="1" applyFont="1" applyAlignment="1">
      <alignment horizontal="right" vertical="center"/>
    </xf>
    <xf numFmtId="0" fontId="85" fillId="0" borderId="0" xfId="1" applyFont="1" applyAlignment="1">
      <alignment vertical="center"/>
    </xf>
    <xf numFmtId="0" fontId="46" fillId="0" borderId="379" xfId="1" applyFont="1" applyBorder="1" applyAlignment="1">
      <alignment horizontal="left" vertical="center" wrapText="1"/>
    </xf>
    <xf numFmtId="0" fontId="56" fillId="5" borderId="403" xfId="1" applyFont="1" applyFill="1" applyBorder="1" applyAlignment="1">
      <alignment horizontal="center" vertical="center" wrapText="1"/>
    </xf>
    <xf numFmtId="0" fontId="83" fillId="0" borderId="382" xfId="1" applyFont="1" applyFill="1" applyBorder="1" applyAlignment="1">
      <alignment horizontal="center" vertical="center"/>
    </xf>
    <xf numFmtId="0" fontId="83" fillId="0" borderId="60" xfId="1" applyFont="1" applyFill="1" applyBorder="1" applyAlignment="1">
      <alignment horizontal="center" vertical="center"/>
    </xf>
    <xf numFmtId="0" fontId="83" fillId="0" borderId="65" xfId="1" applyFont="1" applyFill="1" applyBorder="1" applyAlignment="1">
      <alignment horizontal="center" vertical="center"/>
    </xf>
    <xf numFmtId="0" fontId="56" fillId="19" borderId="43" xfId="1" applyFont="1" applyFill="1" applyBorder="1" applyAlignment="1">
      <alignment horizontal="center" vertical="center"/>
    </xf>
    <xf numFmtId="3" fontId="56" fillId="19" borderId="43" xfId="1" applyNumberFormat="1" applyFont="1" applyFill="1" applyBorder="1" applyAlignment="1">
      <alignment horizontal="right" vertical="center"/>
    </xf>
    <xf numFmtId="10" fontId="56" fillId="19" borderId="199" xfId="23" applyNumberFormat="1" applyFont="1" applyFill="1" applyBorder="1" applyAlignment="1">
      <alignment horizontal="right" vertical="center"/>
    </xf>
    <xf numFmtId="3" fontId="82" fillId="0" borderId="0" xfId="1" applyNumberFormat="1" applyFont="1" applyAlignment="1">
      <alignment horizontal="center" vertical="center"/>
    </xf>
    <xf numFmtId="49" fontId="56" fillId="0" borderId="389" xfId="1" applyNumberFormat="1" applyFont="1" applyFill="1" applyBorder="1" applyAlignment="1">
      <alignment horizontal="center" vertical="center" wrapText="1"/>
    </xf>
    <xf numFmtId="3" fontId="56" fillId="0" borderId="389" xfId="1" applyNumberFormat="1" applyFont="1" applyFill="1" applyBorder="1" applyAlignment="1">
      <alignment horizontal="right" vertical="center" wrapText="1"/>
    </xf>
    <xf numFmtId="3" fontId="56" fillId="0" borderId="389" xfId="1" applyNumberFormat="1" applyFont="1" applyFill="1" applyBorder="1" applyAlignment="1">
      <alignment horizontal="right" vertical="center"/>
    </xf>
    <xf numFmtId="3" fontId="56" fillId="0" borderId="394" xfId="1" applyNumberFormat="1" applyFont="1" applyFill="1" applyBorder="1" applyAlignment="1">
      <alignment horizontal="right" vertical="center"/>
    </xf>
    <xf numFmtId="10" fontId="56" fillId="0" borderId="390" xfId="23" applyNumberFormat="1" applyFont="1" applyBorder="1" applyAlignment="1">
      <alignment horizontal="right" vertical="center"/>
    </xf>
    <xf numFmtId="49" fontId="86" fillId="0" borderId="389" xfId="1" applyNumberFormat="1" applyFont="1" applyFill="1" applyBorder="1" applyAlignment="1">
      <alignment horizontal="center" vertical="center" wrapText="1"/>
    </xf>
    <xf numFmtId="3" fontId="86" fillId="0" borderId="389" xfId="1" applyNumberFormat="1" applyFont="1" applyFill="1" applyBorder="1" applyAlignment="1">
      <alignment horizontal="right" vertical="center" wrapText="1"/>
    </xf>
    <xf numFmtId="3" fontId="8" fillId="0" borderId="394" xfId="1" applyNumberFormat="1" applyFont="1" applyFill="1" applyBorder="1" applyAlignment="1">
      <alignment horizontal="right" vertical="center"/>
    </xf>
    <xf numFmtId="10" fontId="8" fillId="0" borderId="390" xfId="23" applyNumberFormat="1" applyFont="1" applyBorder="1" applyAlignment="1">
      <alignment horizontal="right" vertical="center"/>
    </xf>
    <xf numFmtId="49" fontId="86" fillId="0" borderId="43" xfId="1" applyNumberFormat="1" applyFont="1" applyFill="1" applyBorder="1" applyAlignment="1">
      <alignment horizontal="center" vertical="center" wrapText="1"/>
    </xf>
    <xf numFmtId="3" fontId="86" fillId="0" borderId="43" xfId="1" applyNumberFormat="1" applyFont="1" applyFill="1" applyBorder="1" applyAlignment="1">
      <alignment horizontal="right" vertical="center" wrapText="1"/>
    </xf>
    <xf numFmtId="3" fontId="8" fillId="0" borderId="43" xfId="1" applyNumberFormat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horizontal="right" vertical="center"/>
    </xf>
    <xf numFmtId="3" fontId="87" fillId="0" borderId="43" xfId="1" applyNumberFormat="1" applyFont="1" applyFill="1" applyBorder="1" applyAlignment="1">
      <alignment horizontal="right" vertical="center" wrapText="1"/>
    </xf>
    <xf numFmtId="3" fontId="56" fillId="0" borderId="43" xfId="1" applyNumberFormat="1" applyFont="1" applyFill="1" applyBorder="1" applyAlignment="1">
      <alignment horizontal="right" vertical="center"/>
    </xf>
    <xf numFmtId="3" fontId="56" fillId="0" borderId="27" xfId="1" applyNumberFormat="1" applyFont="1" applyFill="1" applyBorder="1" applyAlignment="1">
      <alignment horizontal="right" vertical="center"/>
    </xf>
    <xf numFmtId="49" fontId="8" fillId="0" borderId="43" xfId="1" applyNumberFormat="1" applyFont="1" applyFill="1" applyBorder="1" applyAlignment="1">
      <alignment horizontal="center" vertical="center" wrapText="1"/>
    </xf>
    <xf numFmtId="3" fontId="46" fillId="0" borderId="43" xfId="1" applyNumberFormat="1" applyFont="1" applyFill="1" applyBorder="1" applyAlignment="1">
      <alignment horizontal="right" vertical="center"/>
    </xf>
    <xf numFmtId="3" fontId="46" fillId="0" borderId="27" xfId="1" applyNumberFormat="1" applyFont="1" applyFill="1" applyBorder="1" applyAlignment="1">
      <alignment horizontal="right" vertical="center"/>
    </xf>
    <xf numFmtId="10" fontId="56" fillId="0" borderId="199" xfId="23" applyNumberFormat="1" applyFont="1" applyFill="1" applyBorder="1" applyAlignment="1">
      <alignment horizontal="right" vertical="center"/>
    </xf>
    <xf numFmtId="3" fontId="46" fillId="0" borderId="389" xfId="1" applyNumberFormat="1" applyFont="1" applyFill="1" applyBorder="1" applyAlignment="1">
      <alignment horizontal="right" vertical="center"/>
    </xf>
    <xf numFmtId="3" fontId="46" fillId="0" borderId="394" xfId="1" applyNumberFormat="1" applyFont="1" applyFill="1" applyBorder="1" applyAlignment="1">
      <alignment horizontal="right" vertical="center"/>
    </xf>
    <xf numFmtId="10" fontId="8" fillId="0" borderId="199" xfId="23" applyNumberFormat="1" applyFont="1" applyFill="1" applyBorder="1" applyAlignment="1">
      <alignment horizontal="right" vertical="center"/>
    </xf>
    <xf numFmtId="49" fontId="8" fillId="0" borderId="389" xfId="1" applyNumberFormat="1" applyFont="1" applyFill="1" applyBorder="1" applyAlignment="1">
      <alignment horizontal="center" vertical="center" wrapText="1"/>
    </xf>
    <xf numFmtId="3" fontId="8" fillId="0" borderId="389" xfId="1" applyNumberFormat="1" applyFont="1" applyFill="1" applyBorder="1" applyAlignment="1">
      <alignment horizontal="right" vertical="center" wrapText="1"/>
    </xf>
    <xf numFmtId="0" fontId="56" fillId="19" borderId="389" xfId="1" applyFont="1" applyFill="1" applyBorder="1" applyAlignment="1">
      <alignment horizontal="center" vertical="center"/>
    </xf>
    <xf numFmtId="3" fontId="56" fillId="19" borderId="389" xfId="1" applyNumberFormat="1" applyFont="1" applyFill="1" applyBorder="1" applyAlignment="1">
      <alignment horizontal="right" vertical="center"/>
    </xf>
    <xf numFmtId="10" fontId="56" fillId="19" borderId="390" xfId="23" applyNumberFormat="1" applyFont="1" applyFill="1" applyBorder="1" applyAlignment="1">
      <alignment horizontal="right" vertical="center"/>
    </xf>
    <xf numFmtId="3" fontId="8" fillId="0" borderId="43" xfId="1" applyNumberFormat="1" applyFont="1" applyFill="1" applyBorder="1" applyAlignment="1">
      <alignment horizontal="right" vertical="center" wrapText="1"/>
    </xf>
    <xf numFmtId="49" fontId="87" fillId="0" borderId="43" xfId="1" applyNumberFormat="1" applyFont="1" applyFill="1" applyBorder="1" applyAlignment="1">
      <alignment horizontal="center" vertical="center" wrapText="1"/>
    </xf>
    <xf numFmtId="0" fontId="82" fillId="0" borderId="70" xfId="1" applyFont="1" applyBorder="1" applyAlignment="1">
      <alignment horizontal="center" vertical="center"/>
    </xf>
    <xf numFmtId="3" fontId="56" fillId="19" borderId="394" xfId="1" applyNumberFormat="1" applyFont="1" applyFill="1" applyBorder="1" applyAlignment="1">
      <alignment horizontal="right" vertical="center"/>
    </xf>
    <xf numFmtId="164" fontId="56" fillId="19" borderId="390" xfId="23" applyNumberFormat="1" applyFont="1" applyFill="1" applyBorder="1" applyAlignment="1">
      <alignment horizontal="right" vertical="center"/>
    </xf>
    <xf numFmtId="164" fontId="56" fillId="0" borderId="199" xfId="23" applyNumberFormat="1" applyFont="1" applyFill="1" applyBorder="1" applyAlignment="1">
      <alignment horizontal="right" vertical="center"/>
    </xf>
    <xf numFmtId="164" fontId="8" fillId="0" borderId="199" xfId="23" applyNumberFormat="1" applyFont="1" applyFill="1" applyBorder="1" applyAlignment="1">
      <alignment horizontal="right" vertical="center"/>
    </xf>
    <xf numFmtId="49" fontId="56" fillId="5" borderId="60" xfId="1" applyNumberFormat="1" applyFont="1" applyFill="1" applyBorder="1" applyAlignment="1">
      <alignment horizontal="center" vertical="center"/>
    </xf>
    <xf numFmtId="3" fontId="56" fillId="5" borderId="60" xfId="1" applyNumberFormat="1" applyFont="1" applyFill="1" applyBorder="1" applyAlignment="1">
      <alignment horizontal="right" vertical="center"/>
    </xf>
    <xf numFmtId="10" fontId="56" fillId="5" borderId="60" xfId="23" applyNumberFormat="1" applyFont="1" applyFill="1" applyBorder="1" applyAlignment="1">
      <alignment horizontal="right" vertical="center"/>
    </xf>
    <xf numFmtId="49" fontId="82" fillId="0" borderId="0" xfId="1" applyNumberFormat="1" applyFont="1" applyAlignment="1">
      <alignment horizontal="center" vertical="top"/>
    </xf>
    <xf numFmtId="49" fontId="84" fillId="0" borderId="0" xfId="1" applyNumberFormat="1" applyFont="1" applyAlignment="1">
      <alignment horizontal="center" vertical="center"/>
    </xf>
    <xf numFmtId="4" fontId="82" fillId="0" borderId="0" xfId="1" applyNumberFormat="1" applyFont="1" applyAlignment="1">
      <alignment horizontal="center" vertical="center"/>
    </xf>
    <xf numFmtId="4" fontId="88" fillId="0" borderId="0" xfId="1" applyNumberFormat="1" applyFont="1" applyAlignment="1">
      <alignment horizontal="center" vertical="center"/>
    </xf>
    <xf numFmtId="0" fontId="82" fillId="0" borderId="0" xfId="1" applyFont="1" applyAlignment="1">
      <alignment horizontal="center" vertical="top"/>
    </xf>
    <xf numFmtId="0" fontId="84" fillId="0" borderId="0" xfId="1" applyFont="1" applyAlignment="1">
      <alignment horizontal="center" vertical="center"/>
    </xf>
    <xf numFmtId="0" fontId="85" fillId="0" borderId="0" xfId="1" applyFont="1" applyAlignment="1">
      <alignment horizontal="center" vertical="center"/>
    </xf>
    <xf numFmtId="0" fontId="89" fillId="0" borderId="0" xfId="1" applyFont="1" applyAlignment="1">
      <alignment horizontal="center" vertical="top"/>
    </xf>
    <xf numFmtId="49" fontId="17" fillId="3" borderId="4" xfId="1" applyNumberFormat="1" applyFont="1" applyFill="1" applyBorder="1" applyAlignment="1">
      <alignment horizontal="center" vertical="center"/>
    </xf>
    <xf numFmtId="3" fontId="17" fillId="3" borderId="4" xfId="1" applyNumberFormat="1" applyFont="1" applyFill="1" applyBorder="1" applyAlignment="1">
      <alignment horizontal="right" vertical="center" wrapText="1"/>
    </xf>
    <xf numFmtId="0" fontId="31" fillId="7" borderId="341" xfId="1" applyFont="1" applyFill="1" applyBorder="1" applyAlignment="1">
      <alignment horizontal="center" vertical="center"/>
    </xf>
    <xf numFmtId="0" fontId="17" fillId="0" borderId="407" xfId="0" applyFont="1" applyBorder="1" applyAlignment="1">
      <alignment horizontal="justify" vertical="center"/>
    </xf>
    <xf numFmtId="0" fontId="17" fillId="0" borderId="101" xfId="0" applyFont="1" applyBorder="1" applyAlignment="1">
      <alignment horizontal="justify" vertical="center"/>
    </xf>
    <xf numFmtId="49" fontId="17" fillId="3" borderId="213" xfId="1" applyNumberFormat="1" applyFont="1" applyFill="1" applyBorder="1" applyAlignment="1">
      <alignment horizontal="left" vertical="center" wrapText="1"/>
    </xf>
    <xf numFmtId="49" fontId="17" fillId="3" borderId="213" xfId="1" applyNumberFormat="1" applyFont="1" applyFill="1" applyBorder="1" applyAlignment="1">
      <alignment horizontal="center" vertical="center"/>
    </xf>
    <xf numFmtId="3" fontId="17" fillId="3" borderId="213" xfId="1" applyNumberFormat="1" applyFont="1" applyFill="1" applyBorder="1" applyAlignment="1">
      <alignment horizontal="right" vertical="center" wrapText="1"/>
    </xf>
    <xf numFmtId="0" fontId="17" fillId="3" borderId="54" xfId="1" applyFont="1" applyFill="1" applyBorder="1" applyAlignment="1">
      <alignment horizontal="right" vertical="center" wrapText="1"/>
    </xf>
    <xf numFmtId="0" fontId="17" fillId="3" borderId="213" xfId="1" applyFont="1" applyFill="1" applyBorder="1" applyAlignment="1">
      <alignment horizontal="left" vertical="center" wrapText="1"/>
    </xf>
    <xf numFmtId="49" fontId="17" fillId="3" borderId="408" xfId="1" applyNumberFormat="1" applyFont="1" applyFill="1" applyBorder="1" applyAlignment="1">
      <alignment horizontal="center" vertical="center"/>
    </xf>
    <xf numFmtId="3" fontId="17" fillId="3" borderId="408" xfId="1" applyNumberFormat="1" applyFont="1" applyFill="1" applyBorder="1" applyAlignment="1">
      <alignment horizontal="right" vertical="center" wrapText="1"/>
    </xf>
    <xf numFmtId="3" fontId="17" fillId="3" borderId="408" xfId="1" applyNumberFormat="1" applyFont="1" applyFill="1" applyBorder="1" applyAlignment="1">
      <alignment vertical="center" wrapText="1"/>
    </xf>
    <xf numFmtId="3" fontId="17" fillId="3" borderId="409" xfId="1" applyNumberFormat="1" applyFont="1" applyFill="1" applyBorder="1" applyAlignment="1">
      <alignment horizontal="right" vertical="center" wrapText="1"/>
    </xf>
    <xf numFmtId="3" fontId="17" fillId="3" borderId="410" xfId="1" applyNumberFormat="1" applyFont="1" applyFill="1" applyBorder="1" applyAlignment="1">
      <alignment horizontal="right" vertical="center" wrapText="1"/>
    </xf>
    <xf numFmtId="0" fontId="17" fillId="3" borderId="408" xfId="1" applyFont="1" applyFill="1" applyBorder="1" applyAlignment="1">
      <alignment horizontal="left" vertical="center" wrapText="1"/>
    </xf>
    <xf numFmtId="49" fontId="17" fillId="3" borderId="101" xfId="1" applyNumberFormat="1" applyFont="1" applyFill="1" applyBorder="1" applyAlignment="1">
      <alignment horizontal="center" vertical="center"/>
    </xf>
    <xf numFmtId="3" fontId="17" fillId="3" borderId="101" xfId="1" applyNumberFormat="1" applyFont="1" applyFill="1" applyBorder="1" applyAlignment="1">
      <alignment horizontal="right" vertical="center" wrapText="1"/>
    </xf>
    <xf numFmtId="3" fontId="17" fillId="3" borderId="385" xfId="1" applyNumberFormat="1" applyFont="1" applyFill="1" applyBorder="1" applyAlignment="1">
      <alignment horizontal="right" vertical="center" wrapText="1"/>
    </xf>
    <xf numFmtId="3" fontId="17" fillId="3" borderId="101" xfId="1" applyNumberFormat="1" applyFont="1" applyFill="1" applyBorder="1" applyAlignment="1">
      <alignment vertical="center" wrapText="1"/>
    </xf>
    <xf numFmtId="3" fontId="17" fillId="3" borderId="386" xfId="1" applyNumberFormat="1" applyFont="1" applyFill="1" applyBorder="1" applyAlignment="1">
      <alignment horizontal="right" vertical="center" wrapText="1"/>
    </xf>
    <xf numFmtId="3" fontId="17" fillId="3" borderId="404" xfId="1" applyNumberFormat="1" applyFont="1" applyFill="1" applyBorder="1" applyAlignment="1">
      <alignment horizontal="right" vertical="center" wrapText="1"/>
    </xf>
    <xf numFmtId="0" fontId="17" fillId="3" borderId="101" xfId="1" applyFont="1" applyFill="1" applyBorder="1" applyAlignment="1">
      <alignment horizontal="left" vertical="center" wrapText="1"/>
    </xf>
    <xf numFmtId="0" fontId="16" fillId="0" borderId="52" xfId="21" applyFont="1" applyBorder="1" applyAlignment="1">
      <alignment horizontal="left" vertical="center" wrapText="1"/>
    </xf>
    <xf numFmtId="0" fontId="46" fillId="3" borderId="17" xfId="20" applyFont="1" applyFill="1" applyBorder="1" applyAlignment="1">
      <alignment vertical="center" wrapText="1"/>
    </xf>
    <xf numFmtId="0" fontId="55" fillId="0" borderId="21" xfId="20" applyFont="1" applyBorder="1" applyAlignment="1">
      <alignment vertical="center" wrapText="1"/>
    </xf>
    <xf numFmtId="0" fontId="55" fillId="0" borderId="1" xfId="20" applyFont="1" applyBorder="1" applyAlignment="1">
      <alignment vertical="center" wrapText="1"/>
    </xf>
    <xf numFmtId="0" fontId="55" fillId="0" borderId="4" xfId="20" applyFont="1" applyBorder="1" applyAlignment="1">
      <alignment vertical="center" wrapText="1"/>
    </xf>
    <xf numFmtId="49" fontId="29" fillId="0" borderId="360" xfId="20" applyNumberFormat="1" applyFont="1" applyBorder="1" applyAlignment="1">
      <alignment horizontal="center" vertical="center"/>
    </xf>
    <xf numFmtId="3" fontId="52" fillId="0" borderId="360" xfId="20" applyNumberFormat="1" applyFont="1" applyFill="1" applyBorder="1" applyAlignment="1">
      <alignment horizontal="right" vertical="center"/>
    </xf>
    <xf numFmtId="0" fontId="63" fillId="0" borderId="339" xfId="20" applyFont="1" applyBorder="1" applyAlignment="1">
      <alignment horizontal="left" vertical="center" wrapText="1"/>
    </xf>
    <xf numFmtId="49" fontId="8" fillId="3" borderId="360" xfId="20" quotePrefix="1" applyNumberFormat="1" applyFont="1" applyFill="1" applyBorder="1" applyAlignment="1">
      <alignment horizontal="center" vertical="center" wrapText="1"/>
    </xf>
    <xf numFmtId="10" fontId="52" fillId="0" borderId="360" xfId="20" applyNumberFormat="1" applyFont="1" applyFill="1" applyBorder="1" applyAlignment="1">
      <alignment horizontal="right" vertical="center"/>
    </xf>
    <xf numFmtId="0" fontId="47" fillId="7" borderId="46" xfId="1" applyFont="1" applyFill="1" applyBorder="1" applyAlignment="1">
      <alignment horizontal="left" vertical="center"/>
    </xf>
    <xf numFmtId="0" fontId="47" fillId="7" borderId="50" xfId="1" applyFont="1" applyFill="1" applyBorder="1" applyAlignment="1">
      <alignment horizontal="left" vertical="center"/>
    </xf>
    <xf numFmtId="0" fontId="47" fillId="7" borderId="76" xfId="1" applyFont="1" applyFill="1" applyBorder="1" applyAlignment="1">
      <alignment horizontal="left" vertical="center"/>
    </xf>
    <xf numFmtId="0" fontId="47" fillId="7" borderId="39" xfId="1" applyFont="1" applyFill="1" applyBorder="1" applyAlignment="1">
      <alignment horizontal="left" vertical="center"/>
    </xf>
    <xf numFmtId="0" fontId="47" fillId="7" borderId="2" xfId="1" applyFont="1" applyFill="1" applyBorder="1" applyAlignment="1">
      <alignment horizontal="left" vertical="center"/>
    </xf>
    <xf numFmtId="0" fontId="47" fillId="7" borderId="57" xfId="1" applyFont="1" applyFill="1" applyBorder="1" applyAlignment="1">
      <alignment horizontal="left" vertical="center"/>
    </xf>
    <xf numFmtId="0" fontId="64" fillId="3" borderId="21" xfId="1" applyFont="1" applyFill="1" applyBorder="1" applyAlignment="1">
      <alignment horizontal="center" vertical="center" wrapText="1"/>
    </xf>
    <xf numFmtId="0" fontId="64" fillId="3" borderId="1" xfId="1" applyFont="1" applyFill="1" applyBorder="1" applyAlignment="1">
      <alignment horizontal="center" vertical="center" wrapText="1"/>
    </xf>
    <xf numFmtId="0" fontId="64" fillId="3" borderId="4" xfId="1" applyFont="1" applyFill="1" applyBorder="1" applyAlignment="1">
      <alignment horizontal="center" vertical="center" wrapText="1"/>
    </xf>
    <xf numFmtId="0" fontId="70" fillId="7" borderId="34" xfId="1" applyFont="1" applyFill="1" applyBorder="1" applyAlignment="1">
      <alignment horizontal="left" vertical="center" wrapText="1"/>
    </xf>
    <xf numFmtId="0" fontId="70" fillId="7" borderId="77" xfId="1" applyFont="1" applyFill="1" applyBorder="1" applyAlignment="1">
      <alignment horizontal="left" vertical="center" wrapText="1"/>
    </xf>
    <xf numFmtId="0" fontId="70" fillId="3" borderId="75" xfId="1" applyFont="1" applyFill="1" applyBorder="1" applyAlignment="1">
      <alignment horizontal="center" vertical="center" wrapText="1"/>
    </xf>
    <xf numFmtId="0" fontId="70" fillId="3" borderId="37" xfId="1" applyFont="1" applyFill="1" applyBorder="1" applyAlignment="1">
      <alignment horizontal="center" vertical="center" wrapText="1"/>
    </xf>
    <xf numFmtId="0" fontId="70" fillId="3" borderId="74" xfId="1" applyFont="1" applyFill="1" applyBorder="1" applyAlignment="1">
      <alignment horizontal="center" vertical="center" wrapText="1"/>
    </xf>
    <xf numFmtId="0" fontId="70" fillId="7" borderId="70" xfId="1" applyFont="1" applyFill="1" applyBorder="1" applyAlignment="1">
      <alignment horizontal="left" vertical="center" wrapText="1"/>
    </xf>
    <xf numFmtId="0" fontId="70" fillId="7" borderId="0" xfId="1" applyFont="1" applyFill="1" applyBorder="1" applyAlignment="1">
      <alignment horizontal="left" vertical="center" wrapText="1"/>
    </xf>
    <xf numFmtId="0" fontId="13" fillId="10" borderId="8" xfId="1" applyFont="1" applyFill="1" applyBorder="1" applyAlignment="1">
      <alignment horizontal="center" vertical="center" wrapText="1"/>
    </xf>
    <xf numFmtId="0" fontId="13" fillId="10" borderId="9" xfId="1" applyFont="1" applyFill="1" applyBorder="1" applyAlignment="1">
      <alignment horizontal="center" vertical="center" wrapText="1"/>
    </xf>
    <xf numFmtId="0" fontId="47" fillId="7" borderId="58" xfId="1" applyFont="1" applyFill="1" applyBorder="1" applyAlignment="1">
      <alignment horizontal="left" vertical="center"/>
    </xf>
    <xf numFmtId="0" fontId="47" fillId="7" borderId="34" xfId="1" applyFont="1" applyFill="1" applyBorder="1" applyAlignment="1">
      <alignment horizontal="left" vertical="center"/>
    </xf>
    <xf numFmtId="0" fontId="47" fillId="7" borderId="81" xfId="1" applyFont="1" applyFill="1" applyBorder="1" applyAlignment="1">
      <alignment horizontal="left" vertical="center"/>
    </xf>
    <xf numFmtId="0" fontId="29" fillId="3" borderId="51" xfId="1" applyFont="1" applyFill="1" applyBorder="1" applyAlignment="1">
      <alignment horizontal="left" vertical="center" wrapText="1"/>
    </xf>
    <xf numFmtId="0" fontId="29" fillId="3" borderId="17" xfId="1" applyFont="1" applyFill="1" applyBorder="1" applyAlignment="1">
      <alignment horizontal="left" vertical="center" wrapText="1"/>
    </xf>
    <xf numFmtId="0" fontId="70" fillId="3" borderId="51" xfId="1" applyFont="1" applyFill="1" applyBorder="1" applyAlignment="1">
      <alignment horizontal="center" vertical="center" wrapText="1"/>
    </xf>
    <xf numFmtId="0" fontId="70" fillId="3" borderId="17" xfId="1" applyFont="1" applyFill="1" applyBorder="1" applyAlignment="1">
      <alignment horizontal="center" vertical="center" wrapText="1"/>
    </xf>
    <xf numFmtId="0" fontId="70" fillId="7" borderId="2" xfId="1" applyFont="1" applyFill="1" applyBorder="1" applyAlignment="1">
      <alignment horizontal="left" vertical="center" wrapText="1"/>
    </xf>
    <xf numFmtId="0" fontId="70" fillId="7" borderId="58" xfId="1" applyFont="1" applyFill="1" applyBorder="1" applyAlignment="1">
      <alignment horizontal="left" vertical="center" wrapText="1"/>
    </xf>
    <xf numFmtId="0" fontId="70" fillId="7" borderId="52" xfId="1" applyFont="1" applyFill="1" applyBorder="1" applyAlignment="1">
      <alignment horizontal="left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70" fillId="3" borderId="1" xfId="1" applyFont="1" applyFill="1" applyBorder="1" applyAlignment="1">
      <alignment horizontal="center" vertical="center" wrapText="1"/>
    </xf>
    <xf numFmtId="0" fontId="70" fillId="7" borderId="39" xfId="1" applyFont="1" applyFill="1" applyBorder="1" applyAlignment="1">
      <alignment horizontal="left" vertical="center" wrapText="1"/>
    </xf>
    <xf numFmtId="0" fontId="63" fillId="3" borderId="51" xfId="1" applyFont="1" applyFill="1" applyBorder="1" applyAlignment="1">
      <alignment horizontal="left" vertical="center" wrapText="1"/>
    </xf>
    <xf numFmtId="0" fontId="63" fillId="3" borderId="1" xfId="1" applyFont="1" applyFill="1" applyBorder="1" applyAlignment="1">
      <alignment horizontal="left" vertical="center" wrapText="1"/>
    </xf>
    <xf numFmtId="0" fontId="63" fillId="3" borderId="17" xfId="1" applyFont="1" applyFill="1" applyBorder="1" applyAlignment="1">
      <alignment horizontal="left" vertical="center" wrapText="1"/>
    </xf>
    <xf numFmtId="0" fontId="70" fillId="7" borderId="18" xfId="1" applyFont="1" applyFill="1" applyBorder="1" applyAlignment="1">
      <alignment horizontal="left" vertical="center" wrapText="1"/>
    </xf>
    <xf numFmtId="0" fontId="64" fillId="0" borderId="1" xfId="1" applyFont="1" applyFill="1" applyBorder="1" applyAlignment="1">
      <alignment horizontal="center" vertical="center" wrapText="1"/>
    </xf>
    <xf numFmtId="0" fontId="70" fillId="7" borderId="46" xfId="1" applyFont="1" applyFill="1" applyBorder="1" applyAlignment="1">
      <alignment horizontal="left" vertical="center" wrapText="1"/>
    </xf>
    <xf numFmtId="0" fontId="70" fillId="7" borderId="50" xfId="1" applyFont="1" applyFill="1" applyBorder="1" applyAlignment="1">
      <alignment horizontal="left" vertical="center" wrapText="1"/>
    </xf>
    <xf numFmtId="0" fontId="62" fillId="3" borderId="51" xfId="1" applyFont="1" applyFill="1" applyBorder="1" applyAlignment="1">
      <alignment horizontal="center" vertical="center" wrapText="1"/>
    </xf>
    <xf numFmtId="0" fontId="62" fillId="3" borderId="1" xfId="1" applyFont="1" applyFill="1" applyBorder="1" applyAlignment="1">
      <alignment horizontal="center" vertical="center" wrapText="1"/>
    </xf>
    <xf numFmtId="0" fontId="62" fillId="3" borderId="17" xfId="1" applyFont="1" applyFill="1" applyBorder="1" applyAlignment="1">
      <alignment horizontal="center" vertical="center" wrapText="1"/>
    </xf>
    <xf numFmtId="0" fontId="70" fillId="7" borderId="12" xfId="1" applyFont="1" applyFill="1" applyBorder="1" applyAlignment="1">
      <alignment horizontal="left" vertical="center" wrapText="1"/>
    </xf>
    <xf numFmtId="0" fontId="29" fillId="3" borderId="75" xfId="1" applyFont="1" applyFill="1" applyBorder="1" applyAlignment="1">
      <alignment horizontal="left" vertical="center" wrapText="1"/>
    </xf>
    <xf numFmtId="0" fontId="29" fillId="3" borderId="74" xfId="1" applyFont="1" applyFill="1" applyBorder="1" applyAlignment="1">
      <alignment horizontal="left" vertical="center" wrapText="1"/>
    </xf>
    <xf numFmtId="0" fontId="70" fillId="7" borderId="22" xfId="1" applyFont="1" applyFill="1" applyBorder="1" applyAlignment="1">
      <alignment horizontal="left" vertical="center" wrapText="1"/>
    </xf>
    <xf numFmtId="0" fontId="29" fillId="3" borderId="51" xfId="1" applyFont="1" applyFill="1" applyBorder="1" applyAlignment="1">
      <alignment horizontal="center" vertical="center" wrapText="1"/>
    </xf>
    <xf numFmtId="0" fontId="29" fillId="3" borderId="17" xfId="1" applyFont="1" applyFill="1" applyBorder="1" applyAlignment="1">
      <alignment horizontal="center" vertical="center" wrapText="1"/>
    </xf>
    <xf numFmtId="0" fontId="55" fillId="3" borderId="1" xfId="1" applyFont="1" applyFill="1" applyBorder="1" applyAlignment="1">
      <alignment horizontal="center" vertical="center" wrapText="1"/>
    </xf>
    <xf numFmtId="0" fontId="70" fillId="7" borderId="24" xfId="1" applyFont="1" applyFill="1" applyBorder="1" applyAlignment="1">
      <alignment horizontal="left" vertical="center" wrapText="1"/>
    </xf>
    <xf numFmtId="0" fontId="70" fillId="7" borderId="76" xfId="1" applyFont="1" applyFill="1" applyBorder="1" applyAlignment="1">
      <alignment horizontal="left" vertical="center" wrapText="1"/>
    </xf>
    <xf numFmtId="0" fontId="70" fillId="3" borderId="4" xfId="1" applyFont="1" applyFill="1" applyBorder="1" applyAlignment="1">
      <alignment horizontal="center" vertical="center" wrapText="1"/>
    </xf>
    <xf numFmtId="0" fontId="70" fillId="7" borderId="74" xfId="1" applyFont="1" applyFill="1" applyBorder="1" applyAlignment="1">
      <alignment horizontal="left" vertical="center" wrapText="1"/>
    </xf>
    <xf numFmtId="0" fontId="70" fillId="7" borderId="57" xfId="1" applyFont="1" applyFill="1" applyBorder="1" applyAlignment="1">
      <alignment horizontal="left" vertical="center" wrapText="1"/>
    </xf>
    <xf numFmtId="0" fontId="70" fillId="7" borderId="37" xfId="1" applyFont="1" applyFill="1" applyBorder="1" applyAlignment="1">
      <alignment horizontal="left" vertical="center" wrapText="1"/>
    </xf>
    <xf numFmtId="0" fontId="70" fillId="7" borderId="10" xfId="1" applyFont="1" applyFill="1" applyBorder="1" applyAlignment="1">
      <alignment horizontal="left" vertical="center" wrapText="1"/>
    </xf>
    <xf numFmtId="0" fontId="29" fillId="3" borderId="1" xfId="1" applyFont="1" applyFill="1" applyBorder="1" applyAlignment="1">
      <alignment horizontal="left" vertical="center" wrapText="1"/>
    </xf>
    <xf numFmtId="0" fontId="70" fillId="7" borderId="81" xfId="1" applyFont="1" applyFill="1" applyBorder="1" applyAlignment="1">
      <alignment horizontal="left" vertical="center" wrapText="1"/>
    </xf>
    <xf numFmtId="0" fontId="70" fillId="7" borderId="23" xfId="1" applyFont="1" applyFill="1" applyBorder="1" applyAlignment="1">
      <alignment horizontal="left" vertical="center" wrapText="1"/>
    </xf>
    <xf numFmtId="0" fontId="70" fillId="7" borderId="75" xfId="1" applyFont="1" applyFill="1" applyBorder="1" applyAlignment="1">
      <alignment horizontal="left" vertical="center" wrapText="1"/>
    </xf>
    <xf numFmtId="0" fontId="63" fillId="0" borderId="51" xfId="20" applyFont="1" applyBorder="1" applyAlignment="1">
      <alignment horizontal="left" vertical="center" wrapText="1"/>
    </xf>
    <xf numFmtId="0" fontId="63" fillId="0" borderId="17" xfId="20" applyFont="1" applyBorder="1" applyAlignment="1">
      <alignment horizontal="left" vertical="center" wrapText="1"/>
    </xf>
    <xf numFmtId="49" fontId="55" fillId="0" borderId="51" xfId="20" applyNumberFormat="1" applyFont="1" applyBorder="1" applyAlignment="1">
      <alignment horizontal="center" vertical="center" wrapText="1"/>
    </xf>
    <xf numFmtId="49" fontId="55" fillId="0" borderId="17" xfId="20" applyNumberFormat="1" applyFont="1" applyBorder="1" applyAlignment="1">
      <alignment horizontal="center" vertical="center" wrapText="1"/>
    </xf>
    <xf numFmtId="49" fontId="29" fillId="3" borderId="1" xfId="1" applyNumberFormat="1" applyFont="1" applyFill="1" applyBorder="1" applyAlignment="1">
      <alignment horizontal="center" vertical="center" wrapText="1"/>
    </xf>
    <xf numFmtId="49" fontId="29" fillId="3" borderId="17" xfId="1" applyNumberFormat="1" applyFont="1" applyFill="1" applyBorder="1" applyAlignment="1">
      <alignment horizontal="center" vertical="center" wrapText="1"/>
    </xf>
    <xf numFmtId="49" fontId="29" fillId="3" borderId="51" xfId="1" applyNumberFormat="1" applyFont="1" applyFill="1" applyBorder="1" applyAlignment="1">
      <alignment horizontal="center" vertical="center" wrapText="1"/>
    </xf>
    <xf numFmtId="0" fontId="63" fillId="0" borderId="1" xfId="20" applyFont="1" applyBorder="1" applyAlignment="1">
      <alignment horizontal="left" vertical="center" wrapText="1"/>
    </xf>
    <xf numFmtId="0" fontId="29" fillId="3" borderId="4" xfId="1" applyFont="1" applyFill="1" applyBorder="1" applyAlignment="1">
      <alignment horizontal="center" vertical="center" wrapText="1"/>
    </xf>
    <xf numFmtId="0" fontId="46" fillId="7" borderId="18" xfId="1" applyFont="1" applyFill="1" applyBorder="1" applyAlignment="1">
      <alignment horizontal="left" vertical="center" wrapText="1"/>
    </xf>
    <xf numFmtId="0" fontId="46" fillId="7" borderId="0" xfId="1" applyFont="1" applyFill="1" applyBorder="1" applyAlignment="1">
      <alignment horizontal="left" vertical="center" wrapText="1"/>
    </xf>
    <xf numFmtId="0" fontId="46" fillId="7" borderId="70" xfId="1" applyFont="1" applyFill="1" applyBorder="1" applyAlignment="1">
      <alignment horizontal="left" vertical="center" wrapText="1"/>
    </xf>
    <xf numFmtId="0" fontId="55" fillId="3" borderId="21" xfId="1" applyFont="1" applyFill="1" applyBorder="1" applyAlignment="1">
      <alignment horizontal="center" vertical="center" wrapText="1"/>
    </xf>
    <xf numFmtId="0" fontId="46" fillId="7" borderId="46" xfId="1" applyFont="1" applyFill="1" applyBorder="1" applyAlignment="1">
      <alignment horizontal="left" vertical="center" wrapText="1"/>
    </xf>
    <xf numFmtId="0" fontId="46" fillId="7" borderId="76" xfId="1" applyFont="1" applyFill="1" applyBorder="1" applyAlignment="1">
      <alignment horizontal="left" vertical="center" wrapText="1"/>
    </xf>
    <xf numFmtId="0" fontId="46" fillId="7" borderId="50" xfId="1" applyFont="1" applyFill="1" applyBorder="1" applyAlignment="1">
      <alignment horizontal="left" vertical="center" wrapText="1"/>
    </xf>
    <xf numFmtId="0" fontId="46" fillId="7" borderId="58" xfId="20" applyFont="1" applyFill="1" applyBorder="1" applyAlignment="1">
      <alignment horizontal="left" vertical="center" wrapText="1"/>
    </xf>
    <xf numFmtId="0" fontId="46" fillId="7" borderId="34" xfId="20" applyFont="1" applyFill="1" applyBorder="1" applyAlignment="1">
      <alignment horizontal="left" vertical="center" wrapText="1"/>
    </xf>
    <xf numFmtId="0" fontId="46" fillId="7" borderId="46" xfId="20" applyFont="1" applyFill="1" applyBorder="1" applyAlignment="1">
      <alignment horizontal="left" vertical="center" wrapText="1"/>
    </xf>
    <xf numFmtId="0" fontId="46" fillId="7" borderId="76" xfId="20" quotePrefix="1" applyFont="1" applyFill="1" applyBorder="1" applyAlignment="1">
      <alignment horizontal="left" vertical="center" wrapText="1"/>
    </xf>
    <xf numFmtId="0" fontId="55" fillId="0" borderId="21" xfId="20" applyFont="1" applyBorder="1" applyAlignment="1">
      <alignment horizontal="center" vertical="center" wrapText="1"/>
    </xf>
    <xf numFmtId="0" fontId="55" fillId="0" borderId="1" xfId="20" applyFont="1" applyBorder="1" applyAlignment="1">
      <alignment horizontal="center" vertical="center" wrapText="1"/>
    </xf>
    <xf numFmtId="0" fontId="55" fillId="0" borderId="4" xfId="20" applyFont="1" applyBorder="1" applyAlignment="1">
      <alignment horizontal="center" vertical="center" wrapText="1"/>
    </xf>
    <xf numFmtId="0" fontId="46" fillId="3" borderId="51" xfId="20" applyFont="1" applyFill="1" applyBorder="1" applyAlignment="1">
      <alignment horizontal="center" vertical="center" wrapText="1"/>
    </xf>
    <xf numFmtId="0" fontId="46" fillId="3" borderId="1" xfId="20" applyFont="1" applyFill="1" applyBorder="1" applyAlignment="1">
      <alignment horizontal="center" vertical="center" wrapText="1"/>
    </xf>
    <xf numFmtId="0" fontId="46" fillId="3" borderId="17" xfId="20" applyFont="1" applyFill="1" applyBorder="1" applyAlignment="1">
      <alignment horizontal="center" vertical="center" wrapText="1"/>
    </xf>
    <xf numFmtId="0" fontId="46" fillId="7" borderId="39" xfId="20" applyFont="1" applyFill="1" applyBorder="1" applyAlignment="1">
      <alignment horizontal="left" vertical="center" wrapText="1"/>
    </xf>
    <xf numFmtId="0" fontId="46" fillId="7" borderId="2" xfId="20" quotePrefix="1" applyFont="1" applyFill="1" applyBorder="1" applyAlignment="1">
      <alignment horizontal="left" vertical="center" wrapText="1"/>
    </xf>
    <xf numFmtId="0" fontId="46" fillId="7" borderId="12" xfId="20" applyFont="1" applyFill="1" applyBorder="1" applyAlignment="1">
      <alignment horizontal="left" vertical="center" wrapText="1"/>
    </xf>
    <xf numFmtId="0" fontId="46" fillId="7" borderId="18" xfId="20" applyFont="1" applyFill="1" applyBorder="1" applyAlignment="1">
      <alignment horizontal="left" vertical="center" wrapText="1"/>
    </xf>
    <xf numFmtId="0" fontId="61" fillId="0" borderId="51" xfId="20" applyFont="1" applyBorder="1" applyAlignment="1">
      <alignment horizontal="center" vertical="center" wrapText="1"/>
    </xf>
    <xf numFmtId="0" fontId="61" fillId="0" borderId="17" xfId="20" applyFont="1" applyBorder="1" applyAlignment="1">
      <alignment horizontal="center" vertical="center" wrapText="1"/>
    </xf>
    <xf numFmtId="0" fontId="46" fillId="7" borderId="35" xfId="20" applyFont="1" applyFill="1" applyBorder="1" applyAlignment="1">
      <alignment horizontal="left" vertical="center" wrapText="1"/>
    </xf>
    <xf numFmtId="0" fontId="46" fillId="7" borderId="40" xfId="20" quotePrefix="1" applyFont="1" applyFill="1" applyBorder="1" applyAlignment="1">
      <alignment horizontal="left" vertical="center" wrapText="1"/>
    </xf>
    <xf numFmtId="0" fontId="46" fillId="7" borderId="34" xfId="20" quotePrefix="1" applyFont="1" applyFill="1" applyBorder="1" applyAlignment="1">
      <alignment horizontal="left" vertical="center" wrapText="1"/>
    </xf>
    <xf numFmtId="0" fontId="8" fillId="3" borderId="51" xfId="20" quotePrefix="1" applyFont="1" applyFill="1" applyBorder="1" applyAlignment="1">
      <alignment horizontal="left" vertical="center" wrapText="1"/>
    </xf>
    <xf numFmtId="0" fontId="8" fillId="3" borderId="17" xfId="20" quotePrefix="1" applyFont="1" applyFill="1" applyBorder="1" applyAlignment="1">
      <alignment horizontal="left" vertical="center" wrapText="1"/>
    </xf>
    <xf numFmtId="0" fontId="8" fillId="3" borderId="51" xfId="20" quotePrefix="1" applyFont="1" applyFill="1" applyBorder="1" applyAlignment="1">
      <alignment horizontal="center" vertical="center" wrapText="1"/>
    </xf>
    <xf numFmtId="0" fontId="8" fillId="3" borderId="1" xfId="20" quotePrefix="1" applyFont="1" applyFill="1" applyBorder="1" applyAlignment="1">
      <alignment horizontal="center" vertical="center" wrapText="1"/>
    </xf>
    <xf numFmtId="0" fontId="8" fillId="3" borderId="17" xfId="20" quotePrefix="1" applyFont="1" applyFill="1" applyBorder="1" applyAlignment="1">
      <alignment horizontal="center" vertical="center" wrapText="1"/>
    </xf>
    <xf numFmtId="0" fontId="46" fillId="7" borderId="52" xfId="20" applyFont="1" applyFill="1" applyBorder="1" applyAlignment="1">
      <alignment horizontal="left" vertical="center"/>
    </xf>
    <xf numFmtId="0" fontId="46" fillId="7" borderId="75" xfId="20" applyFont="1" applyFill="1" applyBorder="1" applyAlignment="1">
      <alignment horizontal="left" vertical="center"/>
    </xf>
    <xf numFmtId="0" fontId="46" fillId="3" borderId="51" xfId="20" applyFont="1" applyFill="1" applyBorder="1" applyAlignment="1">
      <alignment horizontal="center" vertical="center"/>
    </xf>
    <xf numFmtId="0" fontId="46" fillId="3" borderId="4" xfId="20" applyFont="1" applyFill="1" applyBorder="1" applyAlignment="1">
      <alignment horizontal="center" vertical="center"/>
    </xf>
    <xf numFmtId="0" fontId="46" fillId="7" borderId="81" xfId="20" applyFont="1" applyFill="1" applyBorder="1" applyAlignment="1">
      <alignment horizontal="left" vertical="center" wrapText="1"/>
    </xf>
    <xf numFmtId="0" fontId="46" fillId="7" borderId="10" xfId="20" applyFont="1" applyFill="1" applyBorder="1" applyAlignment="1">
      <alignment horizontal="left" vertical="center"/>
    </xf>
    <xf numFmtId="0" fontId="46" fillId="7" borderId="37" xfId="20" applyFont="1" applyFill="1" applyBorder="1" applyAlignment="1">
      <alignment horizontal="left" vertical="center"/>
    </xf>
    <xf numFmtId="0" fontId="46" fillId="7" borderId="39" xfId="20" applyFont="1" applyFill="1" applyBorder="1" applyAlignment="1">
      <alignment horizontal="left" vertical="center"/>
    </xf>
    <xf numFmtId="0" fontId="46" fillId="7" borderId="57" xfId="20" applyFont="1" applyFill="1" applyBorder="1" applyAlignment="1">
      <alignment horizontal="left" vertical="center"/>
    </xf>
    <xf numFmtId="0" fontId="46" fillId="7" borderId="81" xfId="20" quotePrefix="1" applyFont="1" applyFill="1" applyBorder="1" applyAlignment="1">
      <alignment horizontal="left" vertical="center" wrapText="1"/>
    </xf>
    <xf numFmtId="0" fontId="8" fillId="3" borderId="1" xfId="20" quotePrefix="1" applyFont="1" applyFill="1" applyBorder="1" applyAlignment="1">
      <alignment horizontal="left" vertical="center" wrapText="1"/>
    </xf>
    <xf numFmtId="49" fontId="8" fillId="3" borderId="51" xfId="20" quotePrefix="1" applyNumberFormat="1" applyFont="1" applyFill="1" applyBorder="1" applyAlignment="1">
      <alignment horizontal="center" vertical="center" wrapText="1"/>
    </xf>
    <xf numFmtId="49" fontId="8" fillId="3" borderId="1" xfId="20" quotePrefix="1" applyNumberFormat="1" applyFont="1" applyFill="1" applyBorder="1" applyAlignment="1">
      <alignment horizontal="center" vertical="center" wrapText="1"/>
    </xf>
    <xf numFmtId="49" fontId="8" fillId="3" borderId="17" xfId="20" quotePrefix="1" applyNumberFormat="1" applyFont="1" applyFill="1" applyBorder="1" applyAlignment="1">
      <alignment horizontal="center" vertical="center" wrapText="1"/>
    </xf>
    <xf numFmtId="0" fontId="46" fillId="7" borderId="18" xfId="20" quotePrefix="1" applyFont="1" applyFill="1" applyBorder="1" applyAlignment="1">
      <alignment horizontal="left" vertical="center" wrapText="1"/>
    </xf>
    <xf numFmtId="0" fontId="46" fillId="3" borderId="61" xfId="20" applyFont="1" applyFill="1" applyBorder="1" applyAlignment="1">
      <alignment horizontal="center" vertical="center" wrapText="1"/>
    </xf>
    <xf numFmtId="0" fontId="46" fillId="3" borderId="62" xfId="20" applyFont="1" applyFill="1" applyBorder="1" applyAlignment="1">
      <alignment horizontal="center" vertical="center" wrapText="1"/>
    </xf>
    <xf numFmtId="0" fontId="8" fillId="3" borderId="69" xfId="20" quotePrefix="1" applyFont="1" applyFill="1" applyBorder="1" applyAlignment="1">
      <alignment horizontal="left" vertical="center" wrapText="1"/>
    </xf>
    <xf numFmtId="0" fontId="8" fillId="3" borderId="63" xfId="20" quotePrefix="1" applyFont="1" applyFill="1" applyBorder="1" applyAlignment="1">
      <alignment horizontal="left" vertical="center" wrapText="1"/>
    </xf>
    <xf numFmtId="0" fontId="46" fillId="7" borderId="57" xfId="20" applyFont="1" applyFill="1" applyBorder="1" applyAlignment="1">
      <alignment horizontal="left" vertical="center" wrapText="1"/>
    </xf>
    <xf numFmtId="0" fontId="46" fillId="7" borderId="0" xfId="20" quotePrefix="1" applyFont="1" applyFill="1" applyBorder="1" applyAlignment="1">
      <alignment horizontal="left" vertical="center" wrapText="1"/>
    </xf>
    <xf numFmtId="0" fontId="63" fillId="3" borderId="75" xfId="20" applyFont="1" applyFill="1" applyBorder="1" applyAlignment="1">
      <alignment horizontal="left" vertical="center" wrapText="1"/>
    </xf>
    <xf numFmtId="0" fontId="63" fillId="3" borderId="37" xfId="20" applyFont="1" applyFill="1" applyBorder="1" applyAlignment="1">
      <alignment horizontal="left" vertical="center" wrapText="1"/>
    </xf>
    <xf numFmtId="0" fontId="63" fillId="3" borderId="74" xfId="20" applyFont="1" applyFill="1" applyBorder="1" applyAlignment="1">
      <alignment horizontal="left" vertical="center" wrapText="1"/>
    </xf>
    <xf numFmtId="0" fontId="46" fillId="7" borderId="50" xfId="20" quotePrefix="1" applyFont="1" applyFill="1" applyBorder="1" applyAlignment="1">
      <alignment horizontal="left" vertical="center" wrapText="1"/>
    </xf>
    <xf numFmtId="0" fontId="64" fillId="0" borderId="1" xfId="20" applyFont="1" applyFill="1" applyBorder="1" applyAlignment="1">
      <alignment horizontal="center" vertical="center" wrapText="1"/>
    </xf>
    <xf numFmtId="0" fontId="46" fillId="7" borderId="0" xfId="20" applyFont="1" applyFill="1" applyBorder="1" applyAlignment="1">
      <alignment horizontal="left" vertical="center" wrapText="1"/>
    </xf>
    <xf numFmtId="0" fontId="46" fillId="7" borderId="2" xfId="20" applyFont="1" applyFill="1" applyBorder="1" applyAlignment="1">
      <alignment horizontal="left" vertical="center" wrapText="1"/>
    </xf>
    <xf numFmtId="0" fontId="61" fillId="0" borderId="61" xfId="20" applyFont="1" applyBorder="1" applyAlignment="1">
      <alignment horizontal="center" vertical="center" wrapText="1"/>
    </xf>
    <xf numFmtId="0" fontId="61" fillId="0" borderId="62" xfId="20" applyFont="1" applyBorder="1" applyAlignment="1">
      <alignment horizontal="center" vertical="center" wrapText="1"/>
    </xf>
    <xf numFmtId="0" fontId="61" fillId="0" borderId="75" xfId="20" applyFont="1" applyBorder="1" applyAlignment="1">
      <alignment horizontal="center" vertical="center" wrapText="1"/>
    </xf>
    <xf numFmtId="0" fontId="61" fillId="0" borderId="37" xfId="20" applyFont="1" applyBorder="1" applyAlignment="1">
      <alignment horizontal="center" vertical="center" wrapText="1"/>
    </xf>
    <xf numFmtId="0" fontId="46" fillId="7" borderId="70" xfId="20" applyFont="1" applyFill="1" applyBorder="1" applyAlignment="1">
      <alignment horizontal="left" vertical="center" wrapText="1"/>
    </xf>
    <xf numFmtId="0" fontId="46" fillId="7" borderId="75" xfId="20" applyFont="1" applyFill="1" applyBorder="1" applyAlignment="1">
      <alignment horizontal="left" vertical="center" wrapText="1"/>
    </xf>
    <xf numFmtId="0" fontId="61" fillId="0" borderId="1" xfId="20" applyFont="1" applyBorder="1" applyAlignment="1">
      <alignment horizontal="center" vertical="center" wrapText="1"/>
    </xf>
    <xf numFmtId="0" fontId="63" fillId="0" borderId="75" xfId="20" applyFont="1" applyBorder="1" applyAlignment="1">
      <alignment horizontal="left" vertical="center" wrapText="1"/>
    </xf>
    <xf numFmtId="0" fontId="63" fillId="0" borderId="37" xfId="20" applyFont="1" applyBorder="1" applyAlignment="1">
      <alignment horizontal="left" vertical="center" wrapText="1"/>
    </xf>
    <xf numFmtId="0" fontId="63" fillId="0" borderId="74" xfId="20" applyFont="1" applyBorder="1" applyAlignment="1">
      <alignment horizontal="left" vertical="center" wrapText="1"/>
    </xf>
    <xf numFmtId="0" fontId="46" fillId="7" borderId="52" xfId="20" applyFont="1" applyFill="1" applyBorder="1" applyAlignment="1">
      <alignment horizontal="left" vertical="center" wrapText="1"/>
    </xf>
    <xf numFmtId="0" fontId="46" fillId="7" borderId="70" xfId="20" quotePrefix="1" applyFont="1" applyFill="1" applyBorder="1" applyAlignment="1">
      <alignment horizontal="left" vertical="center" wrapText="1"/>
    </xf>
    <xf numFmtId="0" fontId="63" fillId="3" borderId="51" xfId="20" applyFont="1" applyFill="1" applyBorder="1" applyAlignment="1">
      <alignment horizontal="left" vertical="center" wrapText="1"/>
    </xf>
    <xf numFmtId="0" fontId="63" fillId="3" borderId="17" xfId="20" applyFont="1" applyFill="1" applyBorder="1" applyAlignment="1">
      <alignment horizontal="left" vertical="center" wrapText="1"/>
    </xf>
    <xf numFmtId="0" fontId="64" fillId="0" borderId="21" xfId="20" applyFont="1" applyBorder="1" applyAlignment="1">
      <alignment horizontal="center" vertical="center" wrapText="1"/>
    </xf>
    <xf numFmtId="0" fontId="64" fillId="0" borderId="1" xfId="20" applyFont="1" applyBorder="1" applyAlignment="1">
      <alignment horizontal="center" vertical="center" wrapText="1"/>
    </xf>
    <xf numFmtId="0" fontId="64" fillId="0" borderId="51" xfId="20" applyFont="1" applyBorder="1" applyAlignment="1">
      <alignment horizontal="center" vertical="center" wrapText="1"/>
    </xf>
    <xf numFmtId="0" fontId="64" fillId="0" borderId="17" xfId="20" applyFont="1" applyBorder="1" applyAlignment="1">
      <alignment horizontal="center" vertical="center" wrapText="1"/>
    </xf>
    <xf numFmtId="0" fontId="46" fillId="7" borderId="50" xfId="20" applyFont="1" applyFill="1" applyBorder="1" applyAlignment="1">
      <alignment horizontal="left" vertical="center" wrapText="1"/>
    </xf>
    <xf numFmtId="0" fontId="46" fillId="3" borderId="4" xfId="20" applyFont="1" applyFill="1" applyBorder="1" applyAlignment="1">
      <alignment horizontal="center" vertical="center" wrapText="1"/>
    </xf>
    <xf numFmtId="0" fontId="46" fillId="7" borderId="77" xfId="20" applyFont="1" applyFill="1" applyBorder="1" applyAlignment="1">
      <alignment horizontal="left" vertical="center" wrapText="1"/>
    </xf>
    <xf numFmtId="0" fontId="46" fillId="7" borderId="23" xfId="20" applyFont="1" applyFill="1" applyBorder="1" applyAlignment="1">
      <alignment horizontal="left" vertical="center" wrapText="1"/>
    </xf>
    <xf numFmtId="0" fontId="46" fillId="3" borderId="75" xfId="20" applyFont="1" applyFill="1" applyBorder="1" applyAlignment="1">
      <alignment horizontal="center" vertical="center" wrapText="1"/>
    </xf>
    <xf numFmtId="0" fontId="46" fillId="3" borderId="37" xfId="20" applyFont="1" applyFill="1" applyBorder="1" applyAlignment="1">
      <alignment horizontal="center" vertical="center" wrapText="1"/>
    </xf>
    <xf numFmtId="0" fontId="46" fillId="7" borderId="76" xfId="20" applyFont="1" applyFill="1" applyBorder="1" applyAlignment="1">
      <alignment horizontal="left" vertical="center" wrapText="1"/>
    </xf>
    <xf numFmtId="0" fontId="46" fillId="7" borderId="3" xfId="20" quotePrefix="1" applyFont="1" applyFill="1" applyBorder="1" applyAlignment="1">
      <alignment horizontal="left" vertical="center" wrapText="1"/>
    </xf>
    <xf numFmtId="0" fontId="55" fillId="0" borderId="51" xfId="20" applyFont="1" applyBorder="1" applyAlignment="1">
      <alignment horizontal="center" vertical="center" wrapText="1"/>
    </xf>
    <xf numFmtId="0" fontId="55" fillId="0" borderId="17" xfId="20" applyFont="1" applyBorder="1" applyAlignment="1">
      <alignment horizontal="center" vertical="center" wrapText="1"/>
    </xf>
    <xf numFmtId="0" fontId="55" fillId="3" borderId="75" xfId="20" applyFont="1" applyFill="1" applyBorder="1" applyAlignment="1">
      <alignment horizontal="center" vertical="center" wrapText="1"/>
    </xf>
    <xf numFmtId="0" fontId="55" fillId="3" borderId="37" xfId="20" applyFont="1" applyFill="1" applyBorder="1" applyAlignment="1">
      <alignment horizontal="center" vertical="center" wrapText="1"/>
    </xf>
    <xf numFmtId="0" fontId="55" fillId="3" borderId="74" xfId="20" applyFont="1" applyFill="1" applyBorder="1" applyAlignment="1">
      <alignment horizontal="center" vertical="center" wrapText="1"/>
    </xf>
    <xf numFmtId="0" fontId="56" fillId="0" borderId="21" xfId="20" quotePrefix="1" applyFont="1" applyFill="1" applyBorder="1" applyAlignment="1">
      <alignment horizontal="center" vertical="center" wrapText="1"/>
    </xf>
    <xf numFmtId="0" fontId="56" fillId="0" borderId="1" xfId="20" quotePrefix="1" applyFont="1" applyFill="1" applyBorder="1" applyAlignment="1">
      <alignment horizontal="center" vertical="center" wrapText="1"/>
    </xf>
    <xf numFmtId="0" fontId="46" fillId="0" borderId="51" xfId="20" applyFont="1" applyFill="1" applyBorder="1" applyAlignment="1">
      <alignment horizontal="center" vertical="center" wrapText="1"/>
    </xf>
    <xf numFmtId="0" fontId="46" fillId="0" borderId="17" xfId="20" applyFont="1" applyFill="1" applyBorder="1" applyAlignment="1">
      <alignment horizontal="center" vertical="center" wrapText="1"/>
    </xf>
    <xf numFmtId="49" fontId="46" fillId="7" borderId="77" xfId="20" applyNumberFormat="1" applyFont="1" applyFill="1" applyBorder="1" applyAlignment="1">
      <alignment horizontal="left" vertical="center" wrapText="1"/>
    </xf>
    <xf numFmtId="49" fontId="46" fillId="7" borderId="39" xfId="20" applyNumberFormat="1" applyFont="1" applyFill="1" applyBorder="1" applyAlignment="1">
      <alignment horizontal="left" vertical="center" wrapText="1"/>
    </xf>
    <xf numFmtId="49" fontId="46" fillId="7" borderId="2" xfId="20" applyNumberFormat="1" applyFont="1" applyFill="1" applyBorder="1" applyAlignment="1">
      <alignment horizontal="left" vertical="center" wrapText="1"/>
    </xf>
    <xf numFmtId="0" fontId="46" fillId="3" borderId="26" xfId="20" applyFont="1" applyFill="1" applyBorder="1" applyAlignment="1">
      <alignment horizontal="center" vertical="center" wrapText="1"/>
    </xf>
    <xf numFmtId="0" fontId="46" fillId="7" borderId="23" xfId="20" quotePrefix="1" applyFont="1" applyFill="1" applyBorder="1" applyAlignment="1">
      <alignment horizontal="left" vertical="center" wrapText="1"/>
    </xf>
    <xf numFmtId="0" fontId="8" fillId="0" borderId="51" xfId="2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8" fillId="0" borderId="17" xfId="20" applyFont="1" applyFill="1" applyBorder="1" applyAlignment="1">
      <alignment horizontal="center" vertical="center" wrapText="1"/>
    </xf>
    <xf numFmtId="0" fontId="56" fillId="0" borderId="51" xfId="20" quotePrefix="1" applyFont="1" applyFill="1" applyBorder="1" applyAlignment="1">
      <alignment horizontal="center" vertical="center" wrapText="1"/>
    </xf>
    <xf numFmtId="0" fontId="8" fillId="0" borderId="75" xfId="20" applyFont="1" applyFill="1" applyBorder="1" applyAlignment="1">
      <alignment horizontal="left" vertical="center" wrapText="1"/>
    </xf>
    <xf numFmtId="0" fontId="8" fillId="0" borderId="37" xfId="20" applyFont="1" applyFill="1" applyBorder="1" applyAlignment="1">
      <alignment horizontal="left" vertical="center" wrapText="1"/>
    </xf>
    <xf numFmtId="49" fontId="50" fillId="0" borderId="51" xfId="20" applyNumberFormat="1" applyFont="1" applyBorder="1" applyAlignment="1">
      <alignment horizontal="center" vertical="center" wrapText="1"/>
    </xf>
    <xf numFmtId="49" fontId="50" fillId="0" borderId="1" xfId="20" applyNumberFormat="1" applyFont="1" applyBorder="1" applyAlignment="1">
      <alignment horizontal="center" vertical="center" wrapText="1"/>
    </xf>
    <xf numFmtId="49" fontId="50" fillId="0" borderId="17" xfId="20" applyNumberFormat="1" applyFont="1" applyBorder="1" applyAlignment="1">
      <alignment horizontal="center" vertical="center" wrapText="1"/>
    </xf>
    <xf numFmtId="3" fontId="52" fillId="0" borderId="0" xfId="20" applyNumberFormat="1" applyFont="1" applyBorder="1" applyAlignment="1">
      <alignment horizontal="left" vertical="center" wrapText="1"/>
    </xf>
    <xf numFmtId="0" fontId="53" fillId="0" borderId="0" xfId="20" applyFont="1" applyBorder="1" applyAlignment="1">
      <alignment horizontal="center" vertical="center" wrapText="1"/>
    </xf>
    <xf numFmtId="0" fontId="13" fillId="10" borderId="7" xfId="20" applyFont="1" applyFill="1" applyBorder="1" applyAlignment="1">
      <alignment horizontal="center" vertical="center" wrapText="1"/>
    </xf>
    <xf numFmtId="0" fontId="13" fillId="10" borderId="5" xfId="20" applyFont="1" applyFill="1" applyBorder="1" applyAlignment="1">
      <alignment horizontal="center" vertical="center" wrapText="1"/>
    </xf>
    <xf numFmtId="0" fontId="14" fillId="10" borderId="7" xfId="20" applyFont="1" applyFill="1" applyBorder="1" applyAlignment="1">
      <alignment horizontal="center" vertical="center" wrapText="1"/>
    </xf>
    <xf numFmtId="0" fontId="13" fillId="10" borderId="8" xfId="20" applyFont="1" applyFill="1" applyBorder="1" applyAlignment="1">
      <alignment horizontal="center" vertical="center" wrapText="1"/>
    </xf>
    <xf numFmtId="3" fontId="14" fillId="10" borderId="21" xfId="20" applyNumberFormat="1" applyFont="1" applyFill="1" applyBorder="1" applyAlignment="1">
      <alignment horizontal="center" vertical="center" wrapText="1"/>
    </xf>
    <xf numFmtId="3" fontId="14" fillId="10" borderId="4" xfId="20" applyNumberFormat="1" applyFont="1" applyFill="1" applyBorder="1" applyAlignment="1">
      <alignment horizontal="center" vertical="center" wrapText="1"/>
    </xf>
    <xf numFmtId="10" fontId="14" fillId="10" borderId="21" xfId="20" applyNumberFormat="1" applyFont="1" applyFill="1" applyBorder="1" applyAlignment="1">
      <alignment horizontal="center" vertical="center" wrapText="1"/>
    </xf>
    <xf numFmtId="10" fontId="14" fillId="10" borderId="4" xfId="20" applyNumberFormat="1" applyFont="1" applyFill="1" applyBorder="1" applyAlignment="1">
      <alignment horizontal="center" vertical="center" wrapText="1"/>
    </xf>
    <xf numFmtId="0" fontId="8" fillId="0" borderId="329" xfId="1" applyFont="1" applyFill="1" applyBorder="1" applyAlignment="1">
      <alignment horizontal="left" vertical="center"/>
    </xf>
    <xf numFmtId="0" fontId="75" fillId="0" borderId="385" xfId="10" applyNumberFormat="1" applyFont="1" applyFill="1" applyBorder="1" applyAlignment="1" applyProtection="1">
      <alignment horizontal="left" vertical="center"/>
      <protection locked="0"/>
    </xf>
    <xf numFmtId="0" fontId="75" fillId="0" borderId="386" xfId="10" applyNumberFormat="1" applyFont="1" applyFill="1" applyBorder="1" applyAlignment="1" applyProtection="1">
      <alignment horizontal="left" vertical="center"/>
      <protection locked="0"/>
    </xf>
    <xf numFmtId="0" fontId="8" fillId="0" borderId="278" xfId="1" applyFont="1" applyFill="1" applyBorder="1" applyAlignment="1">
      <alignment horizontal="left" vertical="center"/>
    </xf>
    <xf numFmtId="0" fontId="75" fillId="0" borderId="384" xfId="10" applyNumberFormat="1" applyFont="1" applyFill="1" applyBorder="1" applyAlignment="1" applyProtection="1">
      <alignment horizontal="left" vertical="center"/>
      <protection locked="0"/>
    </xf>
    <xf numFmtId="0" fontId="75" fillId="0" borderId="309" xfId="10" applyNumberFormat="1" applyFont="1" applyFill="1" applyBorder="1" applyAlignment="1" applyProtection="1">
      <alignment horizontal="left" vertical="center"/>
      <protection locked="0"/>
    </xf>
    <xf numFmtId="0" fontId="8" fillId="0" borderId="52" xfId="1" applyFont="1" applyFill="1" applyBorder="1" applyAlignment="1">
      <alignment horizontal="left" vertical="center"/>
    </xf>
    <xf numFmtId="0" fontId="75" fillId="0" borderId="70" xfId="10" applyNumberFormat="1" applyFont="1" applyFill="1" applyBorder="1" applyAlignment="1" applyProtection="1">
      <alignment horizontal="left" vertical="center"/>
      <protection locked="0"/>
    </xf>
    <xf numFmtId="0" fontId="75" fillId="0" borderId="31" xfId="10" applyNumberFormat="1" applyFont="1" applyFill="1" applyBorder="1" applyAlignment="1" applyProtection="1">
      <alignment horizontal="left" vertical="center"/>
      <protection locked="0"/>
    </xf>
    <xf numFmtId="0" fontId="50" fillId="6" borderId="8" xfId="1" applyFont="1" applyFill="1" applyBorder="1" applyAlignment="1">
      <alignment horizontal="left" vertical="center"/>
    </xf>
    <xf numFmtId="0" fontId="80" fillId="6" borderId="9" xfId="10" applyNumberFormat="1" applyFont="1" applyFill="1" applyBorder="1" applyAlignment="1" applyProtection="1">
      <alignment horizontal="left" vertical="center"/>
      <protection locked="0"/>
    </xf>
    <xf numFmtId="0" fontId="80" fillId="6" borderId="14" xfId="10" applyNumberFormat="1" applyFont="1" applyFill="1" applyBorder="1" applyAlignment="1" applyProtection="1">
      <alignment horizontal="left" vertical="center"/>
      <protection locked="0"/>
    </xf>
    <xf numFmtId="0" fontId="8" fillId="0" borderId="157" xfId="1" applyFont="1" applyFill="1" applyBorder="1" applyAlignment="1">
      <alignment horizontal="left" vertical="center"/>
    </xf>
    <xf numFmtId="0" fontId="75" fillId="0" borderId="158" xfId="10" applyNumberFormat="1" applyFont="1" applyFill="1" applyBorder="1" applyAlignment="1" applyProtection="1">
      <alignment horizontal="left" vertical="center"/>
      <protection locked="0"/>
    </xf>
    <xf numFmtId="0" fontId="75" fillId="0" borderId="176" xfId="10" applyNumberFormat="1" applyFont="1" applyFill="1" applyBorder="1" applyAlignment="1" applyProtection="1">
      <alignment horizontal="left" vertical="center"/>
      <protection locked="0"/>
    </xf>
    <xf numFmtId="0" fontId="46" fillId="0" borderId="278" xfId="1" applyFont="1" applyFill="1" applyBorder="1" applyAlignment="1">
      <alignment horizontal="left" vertical="center" wrapText="1"/>
    </xf>
    <xf numFmtId="0" fontId="81" fillId="0" borderId="384" xfId="10" applyNumberFormat="1" applyFont="1" applyFill="1" applyBorder="1" applyAlignment="1" applyProtection="1">
      <alignment horizontal="left" vertical="center"/>
      <protection locked="0"/>
    </xf>
    <xf numFmtId="0" fontId="81" fillId="0" borderId="309" xfId="10" applyNumberFormat="1" applyFont="1" applyFill="1" applyBorder="1" applyAlignment="1" applyProtection="1">
      <alignment horizontal="left" vertical="center"/>
      <protection locked="0"/>
    </xf>
    <xf numFmtId="0" fontId="46" fillId="0" borderId="278" xfId="1" applyFont="1" applyFill="1" applyBorder="1" applyAlignment="1">
      <alignment horizontal="left" vertical="center"/>
    </xf>
    <xf numFmtId="0" fontId="8" fillId="0" borderId="278" xfId="1" applyFont="1" applyFill="1" applyBorder="1" applyAlignment="1">
      <alignment horizontal="left" vertical="center" wrapText="1"/>
    </xf>
    <xf numFmtId="49" fontId="79" fillId="0" borderId="87" xfId="10" applyNumberFormat="1" applyFont="1" applyFill="1" applyBorder="1" applyAlignment="1" applyProtection="1">
      <alignment horizontal="left" vertical="center" wrapText="1"/>
      <protection locked="0"/>
    </xf>
    <xf numFmtId="49" fontId="79" fillId="0" borderId="12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8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81" xfId="10" applyNumberFormat="1" applyFont="1" applyFill="1" applyBorder="1" applyAlignment="1" applyProtection="1">
      <alignment horizontal="left" vertical="center" wrapText="1"/>
      <protection locked="0"/>
    </xf>
    <xf numFmtId="49" fontId="79" fillId="14" borderId="382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60" xfId="10" applyNumberFormat="1" applyFont="1" applyFill="1" applyBorder="1" applyAlignment="1" applyProtection="1">
      <alignment horizontal="center" vertical="center" wrapText="1"/>
      <protection locked="0"/>
    </xf>
    <xf numFmtId="49" fontId="79" fillId="14" borderId="383" xfId="10" applyNumberFormat="1" applyFont="1" applyFill="1" applyBorder="1" applyAlignment="1" applyProtection="1">
      <alignment horizontal="center" vertical="center" wrapText="1"/>
      <protection locked="0"/>
    </xf>
    <xf numFmtId="49" fontId="79" fillId="12" borderId="212" xfId="10" applyNumberFormat="1" applyFont="1" applyFill="1" applyBorder="1" applyAlignment="1" applyProtection="1">
      <alignment horizontal="center" vertical="center" wrapText="1"/>
      <protection locked="0"/>
    </xf>
    <xf numFmtId="49" fontId="79" fillId="12" borderId="0" xfId="10" applyNumberFormat="1" applyFont="1" applyFill="1" applyBorder="1" applyAlignment="1" applyProtection="1">
      <alignment horizontal="center" vertical="center" wrapText="1"/>
      <protection locked="0"/>
    </xf>
    <xf numFmtId="49" fontId="79" fillId="13" borderId="382" xfId="10" applyNumberFormat="1" applyFont="1" applyFill="1" applyBorder="1" applyAlignment="1" applyProtection="1">
      <alignment horizontal="center" vertical="top" wrapText="1"/>
      <protection locked="0"/>
    </xf>
    <xf numFmtId="49" fontId="79" fillId="13" borderId="60" xfId="10" applyNumberFormat="1" applyFont="1" applyFill="1" applyBorder="1" applyAlignment="1" applyProtection="1">
      <alignment horizontal="center" vertical="top" wrapText="1"/>
      <protection locked="0"/>
    </xf>
    <xf numFmtId="49" fontId="50" fillId="6" borderId="382" xfId="1" applyNumberFormat="1" applyFont="1" applyFill="1" applyBorder="1" applyAlignment="1">
      <alignment horizontal="left" vertical="center"/>
    </xf>
    <xf numFmtId="49" fontId="50" fillId="6" borderId="60" xfId="1" applyNumberFormat="1" applyFont="1" applyFill="1" applyBorder="1" applyAlignment="1">
      <alignment horizontal="left" vertical="center"/>
    </xf>
    <xf numFmtId="49" fontId="75" fillId="12" borderId="343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30" xfId="10" applyNumberFormat="1" applyFont="1" applyFill="1" applyBorder="1" applyAlignment="1" applyProtection="1">
      <alignment horizontal="left" vertical="center" wrapText="1"/>
      <protection locked="0"/>
    </xf>
    <xf numFmtId="49" fontId="75" fillId="16" borderId="212" xfId="10" applyNumberFormat="1" applyFont="1" applyFill="1" applyBorder="1" applyAlignment="1" applyProtection="1">
      <alignment horizontal="center" vertical="center" wrapText="1"/>
      <protection locked="0"/>
    </xf>
    <xf numFmtId="49" fontId="79" fillId="0" borderId="315" xfId="10" applyNumberFormat="1" applyFont="1" applyFill="1" applyBorder="1" applyAlignment="1" applyProtection="1">
      <alignment horizontal="left" vertical="center" wrapText="1"/>
      <protection locked="0"/>
    </xf>
    <xf numFmtId="49" fontId="79" fillId="0" borderId="316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358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359" xfId="10" applyNumberFormat="1" applyFont="1" applyFill="1" applyBorder="1" applyAlignment="1" applyProtection="1">
      <alignment horizontal="left" vertical="center" wrapText="1"/>
      <protection locked="0"/>
    </xf>
    <xf numFmtId="0" fontId="81" fillId="0" borderId="363" xfId="10" applyNumberFormat="1" applyFont="1" applyFill="1" applyBorder="1" applyAlignment="1" applyProtection="1">
      <alignment horizontal="left" vertical="center"/>
      <protection locked="0"/>
    </xf>
    <xf numFmtId="0" fontId="81" fillId="0" borderId="364" xfId="10" applyNumberFormat="1" applyFont="1" applyFill="1" applyBorder="1" applyAlignment="1" applyProtection="1">
      <alignment horizontal="left" vertical="center"/>
      <protection locked="0"/>
    </xf>
    <xf numFmtId="49" fontId="81" fillId="12" borderId="367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368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367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36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3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4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71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72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330" xfId="10" applyNumberFormat="1" applyFont="1" applyFill="1" applyBorder="1" applyAlignment="1" applyProtection="1">
      <alignment horizontal="left" vertical="center" wrapText="1"/>
      <protection locked="0"/>
    </xf>
    <xf numFmtId="0" fontId="81" fillId="0" borderId="87" xfId="10" applyNumberFormat="1" applyFont="1" applyFill="1" applyBorder="1" applyAlignment="1" applyProtection="1">
      <alignment horizontal="left" vertical="center"/>
      <protection locked="0"/>
    </xf>
    <xf numFmtId="49" fontId="81" fillId="12" borderId="343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346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33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0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87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33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9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94" xfId="10" applyNumberFormat="1" applyFont="1" applyFill="1" applyBorder="1" applyAlignment="1" applyProtection="1">
      <alignment horizontal="center" vertical="center" wrapText="1"/>
      <protection locked="0"/>
    </xf>
    <xf numFmtId="0" fontId="33" fillId="0" borderId="330" xfId="0" applyFont="1" applyBorder="1" applyAlignment="1">
      <alignment horizontal="left" vertical="center" wrapText="1"/>
    </xf>
    <xf numFmtId="49" fontId="75" fillId="16" borderId="213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213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21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37" xfId="10" applyNumberFormat="1" applyFont="1" applyFill="1" applyBorder="1" applyAlignment="1" applyProtection="1">
      <alignment horizontal="center" vertical="center" wrapText="1"/>
      <protection locked="0"/>
    </xf>
    <xf numFmtId="49" fontId="79" fillId="0" borderId="184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258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258" xfId="10" applyNumberFormat="1" applyFont="1" applyFill="1" applyBorder="1" applyAlignment="1" applyProtection="1">
      <alignment horizontal="left" vertical="center" wrapText="1"/>
      <protection locked="0"/>
    </xf>
    <xf numFmtId="0" fontId="51" fillId="0" borderId="258" xfId="0" applyFont="1" applyBorder="1" applyAlignment="1">
      <alignment horizontal="left" vertical="center" wrapText="1"/>
    </xf>
    <xf numFmtId="49" fontId="75" fillId="12" borderId="258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258" xfId="0" applyBorder="1" applyAlignment="1">
      <alignment horizontal="left" vertical="center" wrapText="1"/>
    </xf>
    <xf numFmtId="49" fontId="81" fillId="12" borderId="280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32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96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9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1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26" xfId="10" applyNumberFormat="1" applyFont="1" applyFill="1" applyBorder="1" applyAlignment="1" applyProtection="1">
      <alignment horizontal="center" vertical="center" wrapText="1"/>
      <protection locked="0"/>
    </xf>
    <xf numFmtId="49" fontId="79" fillId="0" borderId="280" xfId="10" applyNumberFormat="1" applyFont="1" applyFill="1" applyBorder="1" applyAlignment="1" applyProtection="1">
      <alignment horizontal="left" vertical="center" wrapText="1"/>
      <protection locked="0"/>
    </xf>
    <xf numFmtId="49" fontId="79" fillId="0" borderId="22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87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87" xfId="0" applyFont="1" applyBorder="1" applyAlignment="1">
      <alignment horizontal="left" vertical="center" wrapText="1"/>
    </xf>
    <xf numFmtId="49" fontId="75" fillId="12" borderId="213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307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258" xfId="10" applyNumberFormat="1" applyFont="1" applyFill="1" applyBorder="1" applyAlignment="1" applyProtection="1">
      <alignment horizontal="left" vertical="center" wrapText="1"/>
      <protection locked="0"/>
    </xf>
    <xf numFmtId="49" fontId="81" fillId="0" borderId="307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258" xfId="0" applyFont="1" applyBorder="1" applyAlignment="1">
      <alignment horizontal="left" vertical="center" wrapText="1"/>
    </xf>
    <xf numFmtId="49" fontId="81" fillId="12" borderId="26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25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260" xfId="10" applyNumberFormat="1" applyFont="1" applyFill="1" applyBorder="1" applyAlignment="1" applyProtection="1">
      <alignment horizontal="left" vertical="center" wrapText="1"/>
      <protection locked="0"/>
    </xf>
    <xf numFmtId="49" fontId="79" fillId="16" borderId="21" xfId="10" applyNumberFormat="1" applyFont="1" applyFill="1" applyBorder="1" applyAlignment="1" applyProtection="1">
      <alignment horizontal="center" vertical="center" wrapText="1"/>
      <protection locked="0"/>
    </xf>
    <xf numFmtId="49" fontId="79" fillId="16" borderId="213" xfId="10" applyNumberFormat="1" applyFont="1" applyFill="1" applyBorder="1" applyAlignment="1" applyProtection="1">
      <alignment horizontal="center" vertical="center" wrapText="1"/>
      <protection locked="0"/>
    </xf>
    <xf numFmtId="49" fontId="79" fillId="16" borderId="13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59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67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87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30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1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14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308" xfId="10" applyNumberFormat="1" applyFont="1" applyFill="1" applyBorder="1" applyAlignment="1" applyProtection="1">
      <alignment horizontal="left" vertical="center" wrapText="1"/>
      <protection locked="0"/>
    </xf>
    <xf numFmtId="0" fontId="33" fillId="0" borderId="258" xfId="0" applyFont="1" applyBorder="1" applyAlignment="1">
      <alignment horizontal="left" vertical="center" wrapText="1"/>
    </xf>
    <xf numFmtId="49" fontId="79" fillId="12" borderId="296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297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03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304" xfId="10" applyNumberFormat="1" applyFont="1" applyFill="1" applyBorder="1" applyAlignment="1" applyProtection="1">
      <alignment horizontal="left" vertical="center" wrapText="1"/>
      <protection locked="0"/>
    </xf>
    <xf numFmtId="0" fontId="81" fillId="0" borderId="282" xfId="10" applyNumberFormat="1" applyFont="1" applyFill="1" applyBorder="1" applyAlignment="1" applyProtection="1">
      <alignment horizontal="left" vertical="center"/>
      <protection locked="0"/>
    </xf>
    <xf numFmtId="49" fontId="81" fillId="12" borderId="30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60" xfId="10" applyNumberFormat="1" applyFont="1" applyFill="1" applyBorder="1" applyAlignment="1" applyProtection="1">
      <alignment horizontal="left" vertical="center" wrapText="1"/>
      <protection locked="0"/>
    </xf>
    <xf numFmtId="49" fontId="79" fillId="0" borderId="293" xfId="10" applyNumberFormat="1" applyFont="1" applyFill="1" applyBorder="1" applyAlignment="1" applyProtection="1">
      <alignment horizontal="left" vertical="center" wrapText="1"/>
      <protection locked="0"/>
    </xf>
    <xf numFmtId="49" fontId="79" fillId="0" borderId="294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296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297" xfId="10" applyNumberFormat="1" applyFont="1" applyFill="1" applyBorder="1" applyAlignment="1" applyProtection="1">
      <alignment horizontal="left" vertical="center" wrapText="1"/>
      <protection locked="0"/>
    </xf>
    <xf numFmtId="0" fontId="81" fillId="0" borderId="258" xfId="10" applyNumberFormat="1" applyFont="1" applyFill="1" applyBorder="1" applyAlignment="1" applyProtection="1">
      <alignment horizontal="left" vertical="center"/>
      <protection locked="0"/>
    </xf>
    <xf numFmtId="49" fontId="79" fillId="0" borderId="258" xfId="10" applyNumberFormat="1" applyFont="1" applyFill="1" applyBorder="1" applyAlignment="1" applyProtection="1">
      <alignment horizontal="left" vertical="center" wrapText="1"/>
      <protection locked="0"/>
    </xf>
    <xf numFmtId="49" fontId="79" fillId="0" borderId="21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7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71" xfId="10" applyNumberFormat="1" applyFont="1" applyFill="1" applyBorder="1" applyAlignment="1" applyProtection="1">
      <alignment horizontal="left" vertical="center" wrapText="1"/>
      <protection locked="0"/>
    </xf>
    <xf numFmtId="49" fontId="75" fillId="3" borderId="213" xfId="10" applyNumberFormat="1" applyFont="1" applyFill="1" applyBorder="1" applyAlignment="1" applyProtection="1">
      <alignment horizontal="center" vertical="center" wrapText="1"/>
      <protection locked="0"/>
    </xf>
    <xf numFmtId="49" fontId="79" fillId="12" borderId="158" xfId="10" applyNumberFormat="1" applyFont="1" applyFill="1" applyBorder="1" applyAlignment="1" applyProtection="1">
      <alignment horizontal="left" vertical="center" wrapText="1"/>
      <protection locked="0"/>
    </xf>
    <xf numFmtId="49" fontId="79" fillId="16" borderId="87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87" xfId="0" applyBorder="1" applyAlignment="1">
      <alignment horizontal="left" vertical="center" wrapText="1"/>
    </xf>
    <xf numFmtId="49" fontId="75" fillId="16" borderId="258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163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156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55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56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180" xfId="10" applyNumberFormat="1" applyFont="1" applyFill="1" applyBorder="1" applyAlignment="1" applyProtection="1">
      <alignment horizontal="left" vertical="center" wrapText="1"/>
      <protection locked="0"/>
    </xf>
    <xf numFmtId="0" fontId="51" fillId="0" borderId="180" xfId="0" applyFont="1" applyBorder="1" applyAlignment="1">
      <alignment horizontal="left" vertical="center" wrapText="1"/>
    </xf>
    <xf numFmtId="49" fontId="75" fillId="12" borderId="18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80" xfId="0" applyBorder="1" applyAlignment="1">
      <alignment horizontal="left" vertical="center" wrapText="1"/>
    </xf>
    <xf numFmtId="49" fontId="80" fillId="0" borderId="213" xfId="10" applyNumberFormat="1" applyFont="1" applyFill="1" applyBorder="1" applyAlignment="1" applyProtection="1">
      <alignment horizontal="center" vertical="center" wrapText="1"/>
      <protection locked="0"/>
    </xf>
    <xf numFmtId="49" fontId="79" fillId="0" borderId="58" xfId="10" applyNumberFormat="1" applyFont="1" applyFill="1" applyBorder="1" applyAlignment="1" applyProtection="1">
      <alignment horizontal="left" vertical="center" wrapText="1"/>
      <protection locked="0"/>
    </xf>
    <xf numFmtId="49" fontId="79" fillId="0" borderId="34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180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180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252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253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254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49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61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62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94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94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63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56" xfId="10" applyNumberFormat="1" applyFont="1" applyFill="1" applyBorder="1" applyAlignment="1" applyProtection="1">
      <alignment horizontal="left" vertical="center" wrapText="1"/>
      <protection locked="0"/>
    </xf>
    <xf numFmtId="0" fontId="81" fillId="0" borderId="180" xfId="10" applyNumberFormat="1" applyFont="1" applyFill="1" applyBorder="1" applyAlignment="1" applyProtection="1">
      <alignment horizontal="left" vertical="center"/>
      <protection locked="0"/>
    </xf>
    <xf numFmtId="0" fontId="33" fillId="0" borderId="180" xfId="0" applyFont="1" applyBorder="1" applyAlignment="1">
      <alignment horizontal="left" vertical="center" wrapText="1"/>
    </xf>
    <xf numFmtId="49" fontId="75" fillId="12" borderId="158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80" xfId="0" applyFont="1" applyBorder="1" applyAlignment="1">
      <alignment horizontal="left" vertical="center" wrapText="1"/>
    </xf>
    <xf numFmtId="49" fontId="75" fillId="0" borderId="120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121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213" xfId="0" applyBorder="1" applyAlignment="1">
      <alignment horizontal="center" vertical="center" wrapText="1"/>
    </xf>
    <xf numFmtId="49" fontId="79" fillId="12" borderId="202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228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32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75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120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192" xfId="0" applyFont="1" applyBorder="1" applyAlignment="1">
      <alignment horizontal="left" vertical="center" wrapText="1"/>
    </xf>
    <xf numFmtId="49" fontId="75" fillId="0" borderId="192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192" xfId="10" applyNumberFormat="1" applyFont="1" applyFill="1" applyBorder="1" applyAlignment="1" applyProtection="1">
      <alignment horizontal="left" vertical="center" wrapText="1"/>
      <protection locked="0"/>
    </xf>
    <xf numFmtId="49" fontId="79" fillId="16" borderId="58" xfId="10" applyNumberFormat="1" applyFont="1" applyFill="1" applyBorder="1" applyAlignment="1" applyProtection="1">
      <alignment horizontal="left" vertical="center" wrapText="1"/>
      <protection locked="0"/>
    </xf>
    <xf numFmtId="49" fontId="79" fillId="16" borderId="66" xfId="10" applyNumberFormat="1" applyFont="1" applyFill="1" applyBorder="1" applyAlignment="1" applyProtection="1">
      <alignment horizontal="left" vertical="center" wrapText="1"/>
      <protection locked="0"/>
    </xf>
    <xf numFmtId="49" fontId="75" fillId="16" borderId="202" xfId="10" applyNumberFormat="1" applyFont="1" applyFill="1" applyBorder="1" applyAlignment="1" applyProtection="1">
      <alignment horizontal="left" vertical="center" wrapText="1"/>
      <protection locked="0"/>
    </xf>
    <xf numFmtId="49" fontId="75" fillId="16" borderId="224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216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49" fontId="75" fillId="12" borderId="192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0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51" fillId="0" borderId="87" xfId="0" applyFont="1" applyBorder="1" applyAlignment="1">
      <alignment horizontal="left" vertical="center" wrapText="1"/>
    </xf>
    <xf numFmtId="49" fontId="79" fillId="12" borderId="157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86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50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86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88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186" xfId="10" applyNumberFormat="1" applyFont="1" applyFill="1" applyBorder="1" applyAlignment="1" applyProtection="1">
      <alignment horizontal="left" vertical="center" wrapText="1"/>
      <protection locked="0"/>
    </xf>
    <xf numFmtId="0" fontId="33" fillId="0" borderId="50" xfId="0" applyFont="1" applyBorder="1" applyAlignment="1">
      <alignment horizontal="left" vertical="center" wrapText="1"/>
    </xf>
    <xf numFmtId="49" fontId="75" fillId="12" borderId="97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22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0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49" fontId="75" fillId="0" borderId="97" xfId="10" applyNumberFormat="1" applyFont="1" applyFill="1" applyBorder="1" applyAlignment="1" applyProtection="1">
      <alignment horizontal="left" vertical="center" wrapText="1"/>
      <protection locked="0"/>
    </xf>
    <xf numFmtId="0" fontId="81" fillId="0" borderId="97" xfId="10" applyNumberFormat="1" applyFont="1" applyFill="1" applyBorder="1" applyAlignment="1" applyProtection="1">
      <alignment horizontal="left" vertical="center"/>
      <protection locked="0"/>
    </xf>
    <xf numFmtId="49" fontId="81" fillId="12" borderId="97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35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41" xfId="10" applyNumberFormat="1" applyFont="1" applyFill="1" applyBorder="1" applyAlignment="1" applyProtection="1">
      <alignment horizontal="center" vertical="center" wrapText="1"/>
      <protection locked="0"/>
    </xf>
    <xf numFmtId="49" fontId="79" fillId="12" borderId="97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47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81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185" xfId="10" applyNumberFormat="1" applyFont="1" applyFill="1" applyBorder="1" applyAlignment="1" applyProtection="1">
      <alignment horizontal="left" vertical="center" wrapText="1"/>
      <protection locked="0"/>
    </xf>
    <xf numFmtId="49" fontId="75" fillId="3" borderId="97" xfId="10" applyNumberFormat="1" applyFont="1" applyFill="1" applyBorder="1" applyAlignment="1" applyProtection="1">
      <alignment horizontal="left" vertical="center" wrapText="1"/>
      <protection locked="0"/>
    </xf>
    <xf numFmtId="0" fontId="33" fillId="0" borderId="97" xfId="0" applyFont="1" applyBorder="1" applyAlignment="1">
      <alignment horizontal="left" vertical="center" wrapText="1"/>
    </xf>
    <xf numFmtId="49" fontId="81" fillId="12" borderId="116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126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132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175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87" xfId="10" applyNumberFormat="1" applyFont="1" applyFill="1" applyBorder="1" applyAlignment="1" applyProtection="1">
      <alignment horizontal="left" vertical="center" wrapText="1"/>
      <protection locked="0"/>
    </xf>
    <xf numFmtId="0" fontId="33" fillId="0" borderId="87" xfId="0" applyFont="1" applyBorder="1" applyAlignment="1">
      <alignment horizontal="left" vertical="center" wrapText="1"/>
    </xf>
    <xf numFmtId="49" fontId="75" fillId="12" borderId="163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56" xfId="10" applyNumberFormat="1" applyFont="1" applyFill="1" applyBorder="1" applyAlignment="1" applyProtection="1">
      <alignment horizontal="center" vertical="center" wrapText="1"/>
      <protection locked="0"/>
    </xf>
    <xf numFmtId="49" fontId="79" fillId="16" borderId="163" xfId="10" applyNumberFormat="1" applyFont="1" applyFill="1" applyBorder="1" applyAlignment="1" applyProtection="1">
      <alignment horizontal="left" vertical="center" wrapText="1"/>
      <protection locked="0"/>
    </xf>
    <xf numFmtId="49" fontId="79" fillId="16" borderId="126" xfId="10" applyNumberFormat="1" applyFont="1" applyFill="1" applyBorder="1" applyAlignment="1" applyProtection="1">
      <alignment horizontal="left" vertical="center" wrapText="1"/>
      <protection locked="0"/>
    </xf>
    <xf numFmtId="49" fontId="75" fillId="16" borderId="132" xfId="10" applyNumberFormat="1" applyFont="1" applyFill="1" applyBorder="1" applyAlignment="1" applyProtection="1">
      <alignment horizontal="left" vertical="center" wrapText="1"/>
      <protection locked="0"/>
    </xf>
    <xf numFmtId="49" fontId="75" fillId="16" borderId="175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9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16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127" xfId="10" applyNumberFormat="1" applyFont="1" applyFill="1" applyBorder="1" applyAlignment="1" applyProtection="1">
      <alignment horizontal="left" vertical="center" wrapText="1"/>
      <protection locked="0"/>
    </xf>
    <xf numFmtId="0" fontId="51" fillId="0" borderId="172" xfId="0" applyFont="1" applyBorder="1" applyAlignment="1">
      <alignment horizontal="left" vertical="center" wrapText="1"/>
    </xf>
    <xf numFmtId="49" fontId="75" fillId="12" borderId="135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126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0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127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55" xfId="10" applyNumberFormat="1" applyFont="1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75" fillId="16" borderId="97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97" xfId="0" applyFont="1" applyBorder="1" applyAlignment="1">
      <alignment horizontal="left" vertical="center" wrapText="1"/>
    </xf>
    <xf numFmtId="49" fontId="75" fillId="16" borderId="127" xfId="10" applyNumberFormat="1" applyFont="1" applyFill="1" applyBorder="1" applyAlignment="1" applyProtection="1">
      <alignment horizontal="center" vertical="center" wrapText="1"/>
      <protection locked="0"/>
    </xf>
    <xf numFmtId="49" fontId="75" fillId="16" borderId="155" xfId="10" applyNumberFormat="1" applyFont="1" applyFill="1" applyBorder="1" applyAlignment="1" applyProtection="1">
      <alignment horizontal="center" vertical="center" wrapText="1"/>
      <protection locked="0"/>
    </xf>
    <xf numFmtId="49" fontId="79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75" fillId="0" borderId="97" xfId="10" applyNumberFormat="1" applyFont="1" applyFill="1" applyBorder="1" applyAlignment="1" applyProtection="1">
      <alignment vertical="center" wrapText="1"/>
      <protection locked="0"/>
    </xf>
    <xf numFmtId="0" fontId="0" fillId="0" borderId="97" xfId="0" applyFont="1" applyBorder="1" applyAlignment="1">
      <alignment vertical="center" wrapText="1"/>
    </xf>
    <xf numFmtId="49" fontId="81" fillId="0" borderId="97" xfId="10" applyNumberFormat="1" applyFont="1" applyFill="1" applyBorder="1" applyAlignment="1" applyProtection="1">
      <alignment vertical="center" wrapText="1"/>
      <protection locked="0"/>
    </xf>
    <xf numFmtId="0" fontId="33" fillId="0" borderId="97" xfId="0" applyFont="1" applyBorder="1" applyAlignment="1">
      <alignment vertical="center" wrapText="1"/>
    </xf>
    <xf numFmtId="49" fontId="75" fillId="12" borderId="87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22" xfId="10" applyNumberFormat="1" applyFont="1" applyFill="1" applyBorder="1" applyAlignment="1" applyProtection="1">
      <alignment horizontal="center" vertical="center" wrapText="1"/>
      <protection locked="0"/>
    </xf>
    <xf numFmtId="49" fontId="79" fillId="0" borderId="97" xfId="10" applyNumberFormat="1" applyFont="1" applyFill="1" applyBorder="1" applyAlignment="1" applyProtection="1">
      <alignment horizontal="left" vertical="center" wrapText="1"/>
      <protection locked="0"/>
    </xf>
    <xf numFmtId="49" fontId="75" fillId="0" borderId="145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35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141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88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18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1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111" xfId="10" applyNumberFormat="1" applyFont="1" applyFill="1" applyBorder="1" applyAlignment="1" applyProtection="1">
      <alignment horizontal="left" vertical="center" wrapText="1"/>
      <protection locked="0"/>
    </xf>
    <xf numFmtId="49" fontId="81" fillId="12" borderId="89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89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89" xfId="10" applyNumberFormat="1" applyFont="1" applyFill="1" applyBorder="1" applyAlignment="1" applyProtection="1">
      <alignment horizontal="left" vertical="center" wrapText="1"/>
      <protection locked="0"/>
    </xf>
    <xf numFmtId="49" fontId="75" fillId="12" borderId="46" xfId="10" applyNumberFormat="1" applyFont="1" applyFill="1" applyBorder="1" applyAlignment="1" applyProtection="1">
      <alignment horizontal="center" vertical="center" wrapText="1"/>
      <protection locked="0"/>
    </xf>
    <xf numFmtId="49" fontId="75" fillId="12" borderId="76" xfId="10" applyNumberFormat="1" applyFont="1" applyFill="1" applyBorder="1" applyAlignment="1" applyProtection="1">
      <alignment horizontal="center" vertical="center" wrapText="1"/>
      <protection locked="0"/>
    </xf>
    <xf numFmtId="49" fontId="79" fillId="12" borderId="95" xfId="10" applyNumberFormat="1" applyFont="1" applyFill="1" applyBorder="1" applyAlignment="1" applyProtection="1">
      <alignment horizontal="left" vertical="center" wrapText="1"/>
      <protection locked="0"/>
    </xf>
    <xf numFmtId="49" fontId="79" fillId="12" borderId="96" xfId="10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10" applyNumberFormat="1" applyFont="1" applyFill="1" applyBorder="1" applyAlignment="1" applyProtection="1">
      <alignment horizontal="center" vertical="center" wrapText="1"/>
      <protection locked="0"/>
    </xf>
    <xf numFmtId="49" fontId="76" fillId="12" borderId="0" xfId="10" applyNumberFormat="1" applyFont="1" applyFill="1" applyBorder="1" applyAlignment="1" applyProtection="1">
      <alignment horizontal="center" vertical="center" wrapText="1"/>
      <protection locked="0"/>
    </xf>
    <xf numFmtId="49" fontId="75" fillId="0" borderId="89" xfId="10" applyNumberFormat="1" applyFont="1" applyFill="1" applyBorder="1" applyAlignment="1" applyProtection="1">
      <alignment horizontal="left" vertical="center" wrapText="1"/>
      <protection locked="0"/>
    </xf>
    <xf numFmtId="0" fontId="81" fillId="0" borderId="89" xfId="1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Alignment="1">
      <alignment horizontal="center" vertical="center" wrapText="1"/>
    </xf>
    <xf numFmtId="0" fontId="56" fillId="0" borderId="0" xfId="1" applyFont="1" applyBorder="1" applyAlignment="1">
      <alignment horizontal="left" vertical="center" wrapText="1"/>
    </xf>
    <xf numFmtId="49" fontId="56" fillId="0" borderId="245" xfId="1" applyNumberFormat="1" applyFont="1" applyBorder="1" applyAlignment="1">
      <alignment horizontal="center" vertical="top"/>
    </xf>
    <xf numFmtId="49" fontId="56" fillId="0" borderId="388" xfId="1" applyNumberFormat="1" applyFont="1" applyBorder="1" applyAlignment="1">
      <alignment horizontal="center" vertical="top"/>
    </xf>
    <xf numFmtId="0" fontId="56" fillId="17" borderId="43" xfId="1" applyFont="1" applyFill="1" applyBorder="1" applyAlignment="1">
      <alignment horizontal="center" vertical="center"/>
    </xf>
    <xf numFmtId="49" fontId="56" fillId="0" borderId="389" xfId="1" applyNumberFormat="1" applyFont="1" applyBorder="1" applyAlignment="1">
      <alignment horizontal="center" vertical="top"/>
    </xf>
    <xf numFmtId="49" fontId="56" fillId="18" borderId="389" xfId="1" applyNumberFormat="1" applyFont="1" applyFill="1" applyBorder="1" applyAlignment="1">
      <alignment horizontal="left" vertical="center"/>
    </xf>
    <xf numFmtId="49" fontId="56" fillId="0" borderId="391" xfId="1" applyNumberFormat="1" applyFont="1" applyBorder="1" applyAlignment="1">
      <alignment horizontal="center" vertical="top"/>
    </xf>
    <xf numFmtId="49" fontId="56" fillId="0" borderId="42" xfId="1" applyNumberFormat="1" applyFont="1" applyBorder="1" applyAlignment="1">
      <alignment horizontal="center" vertical="top"/>
    </xf>
    <xf numFmtId="49" fontId="56" fillId="0" borderId="43" xfId="1" applyNumberFormat="1" applyFont="1" applyBorder="1" applyAlignment="1">
      <alignment horizontal="center" vertical="top"/>
    </xf>
    <xf numFmtId="49" fontId="56" fillId="0" borderId="392" xfId="1" applyNumberFormat="1" applyFont="1" applyBorder="1" applyAlignment="1">
      <alignment horizontal="center" vertical="top"/>
    </xf>
    <xf numFmtId="49" fontId="56" fillId="0" borderId="26" xfId="1" applyNumberFormat="1" applyFont="1" applyBorder="1" applyAlignment="1">
      <alignment horizontal="center" vertical="top"/>
    </xf>
    <xf numFmtId="0" fontId="56" fillId="17" borderId="389" xfId="1" applyFont="1" applyFill="1" applyBorder="1" applyAlignment="1">
      <alignment horizontal="center" vertical="center"/>
    </xf>
    <xf numFmtId="49" fontId="56" fillId="18" borderId="389" xfId="1" applyNumberFormat="1" applyFont="1" applyFill="1" applyBorder="1" applyAlignment="1">
      <alignment horizontal="left" vertical="center" wrapText="1"/>
    </xf>
    <xf numFmtId="0" fontId="56" fillId="17" borderId="389" xfId="1" applyFont="1" applyFill="1" applyBorder="1" applyAlignment="1">
      <alignment horizontal="center" vertical="center" wrapText="1"/>
    </xf>
    <xf numFmtId="49" fontId="56" fillId="18" borderId="394" xfId="1" applyNumberFormat="1" applyFont="1" applyFill="1" applyBorder="1" applyAlignment="1">
      <alignment horizontal="left" vertical="center" wrapText="1"/>
    </xf>
    <xf numFmtId="49" fontId="56" fillId="18" borderId="395" xfId="1" applyNumberFormat="1" applyFont="1" applyFill="1" applyBorder="1" applyAlignment="1">
      <alignment horizontal="left" vertical="center" wrapText="1"/>
    </xf>
    <xf numFmtId="49" fontId="56" fillId="5" borderId="7" xfId="1" applyNumberFormat="1" applyFont="1" applyFill="1" applyBorder="1" applyAlignment="1">
      <alignment horizontal="center" vertical="center"/>
    </xf>
    <xf numFmtId="0" fontId="46" fillId="0" borderId="0" xfId="1" applyFont="1" applyBorder="1" applyAlignment="1">
      <alignment horizontal="left" vertical="center" wrapText="1"/>
    </xf>
    <xf numFmtId="0" fontId="46" fillId="0" borderId="379" xfId="1" applyFont="1" applyBorder="1" applyAlignment="1">
      <alignment horizontal="center" vertical="center" wrapText="1"/>
    </xf>
    <xf numFmtId="0" fontId="56" fillId="5" borderId="396" xfId="1" applyFont="1" applyFill="1" applyBorder="1" applyAlignment="1">
      <alignment horizontal="center" vertical="center"/>
    </xf>
    <xf numFmtId="0" fontId="56" fillId="5" borderId="388" xfId="1" applyFont="1" applyFill="1" applyBorder="1" applyAlignment="1">
      <alignment horizontal="center" vertical="center"/>
    </xf>
    <xf numFmtId="0" fontId="56" fillId="5" borderId="354" xfId="1" applyFont="1" applyFill="1" applyBorder="1" applyAlignment="1">
      <alignment horizontal="center" vertical="center"/>
    </xf>
    <xf numFmtId="0" fontId="56" fillId="5" borderId="397" xfId="1" applyFont="1" applyFill="1" applyBorder="1" applyAlignment="1">
      <alignment horizontal="center" vertical="center"/>
    </xf>
    <xf numFmtId="0" fontId="56" fillId="5" borderId="389" xfId="1" applyFont="1" applyFill="1" applyBorder="1" applyAlignment="1">
      <alignment horizontal="center" vertical="center"/>
    </xf>
    <xf numFmtId="0" fontId="56" fillId="5" borderId="403" xfId="1" applyFont="1" applyFill="1" applyBorder="1" applyAlignment="1">
      <alignment horizontal="center" vertical="center"/>
    </xf>
    <xf numFmtId="0" fontId="56" fillId="5" borderId="398" xfId="1" applyFont="1" applyFill="1" applyBorder="1" applyAlignment="1">
      <alignment horizontal="center" vertical="center"/>
    </xf>
    <xf numFmtId="0" fontId="56" fillId="5" borderId="42" xfId="1" applyFont="1" applyFill="1" applyBorder="1" applyAlignment="1">
      <alignment horizontal="center" vertical="center"/>
    </xf>
    <xf numFmtId="0" fontId="56" fillId="5" borderId="29" xfId="1" applyFont="1" applyFill="1" applyBorder="1" applyAlignment="1">
      <alignment horizontal="center" vertical="center"/>
    </xf>
    <xf numFmtId="0" fontId="56" fillId="5" borderId="398" xfId="1" applyFont="1" applyFill="1" applyBorder="1" applyAlignment="1">
      <alignment horizontal="center" vertical="center" wrapText="1"/>
    </xf>
    <xf numFmtId="0" fontId="56" fillId="5" borderId="42" xfId="1" applyFont="1" applyFill="1" applyBorder="1" applyAlignment="1">
      <alignment horizontal="center" vertical="center" wrapText="1"/>
    </xf>
    <xf numFmtId="0" fontId="56" fillId="5" borderId="29" xfId="1" applyFont="1" applyFill="1" applyBorder="1" applyAlignment="1">
      <alignment horizontal="center" vertical="center" wrapText="1"/>
    </xf>
    <xf numFmtId="0" fontId="56" fillId="5" borderId="397" xfId="1" applyFont="1" applyFill="1" applyBorder="1" applyAlignment="1">
      <alignment horizontal="center" vertical="center" wrapText="1"/>
    </xf>
    <xf numFmtId="0" fontId="56" fillId="5" borderId="389" xfId="1" applyFont="1" applyFill="1" applyBorder="1" applyAlignment="1">
      <alignment horizontal="center" vertical="center" wrapText="1"/>
    </xf>
    <xf numFmtId="0" fontId="56" fillId="5" borderId="403" xfId="1" applyFont="1" applyFill="1" applyBorder="1" applyAlignment="1">
      <alignment horizontal="center" vertical="center" wrapText="1"/>
    </xf>
    <xf numFmtId="0" fontId="56" fillId="5" borderId="399" xfId="1" applyFont="1" applyFill="1" applyBorder="1" applyAlignment="1">
      <alignment horizontal="center" vertical="center" wrapText="1"/>
    </xf>
    <xf numFmtId="0" fontId="56" fillId="5" borderId="400" xfId="1" applyFont="1" applyFill="1" applyBorder="1" applyAlignment="1">
      <alignment horizontal="center" vertical="center" wrapText="1"/>
    </xf>
    <xf numFmtId="0" fontId="56" fillId="5" borderId="401" xfId="1" applyFont="1" applyFill="1" applyBorder="1" applyAlignment="1">
      <alignment horizontal="center" vertical="center" wrapText="1"/>
    </xf>
    <xf numFmtId="0" fontId="56" fillId="5" borderId="394" xfId="1" applyFont="1" applyFill="1" applyBorder="1" applyAlignment="1">
      <alignment horizontal="center" vertical="center" wrapText="1"/>
    </xf>
    <xf numFmtId="0" fontId="56" fillId="5" borderId="404" xfId="1" applyFont="1" applyFill="1" applyBorder="1" applyAlignment="1">
      <alignment horizontal="center" vertical="center" wrapText="1"/>
    </xf>
    <xf numFmtId="0" fontId="56" fillId="5" borderId="402" xfId="1" applyFont="1" applyFill="1" applyBorder="1" applyAlignment="1">
      <alignment horizontal="center" vertical="center" wrapText="1"/>
    </xf>
    <xf numFmtId="0" fontId="56" fillId="5" borderId="390" xfId="1" applyFont="1" applyFill="1" applyBorder="1" applyAlignment="1">
      <alignment horizontal="center" vertical="center" wrapText="1"/>
    </xf>
    <xf numFmtId="0" fontId="56" fillId="5" borderId="387" xfId="1" applyFont="1" applyFill="1" applyBorder="1" applyAlignment="1">
      <alignment horizontal="center" vertical="center" wrapText="1"/>
    </xf>
    <xf numFmtId="0" fontId="56" fillId="5" borderId="391" xfId="1" applyFont="1" applyFill="1" applyBorder="1" applyAlignment="1">
      <alignment horizontal="center" vertical="center" wrapText="1"/>
    </xf>
    <xf numFmtId="49" fontId="56" fillId="0" borderId="405" xfId="1" applyNumberFormat="1" applyFont="1" applyBorder="1" applyAlignment="1">
      <alignment horizontal="center" vertical="top"/>
    </xf>
    <xf numFmtId="0" fontId="56" fillId="19" borderId="43" xfId="1" applyFont="1" applyFill="1" applyBorder="1" applyAlignment="1">
      <alignment horizontal="center" vertical="center"/>
    </xf>
    <xf numFmtId="49" fontId="56" fillId="0" borderId="391" xfId="1" applyNumberFormat="1" applyFont="1" applyFill="1" applyBorder="1" applyAlignment="1">
      <alignment horizontal="center" vertical="center"/>
    </xf>
    <xf numFmtId="49" fontId="56" fillId="0" borderId="42" xfId="1" applyNumberFormat="1" applyFont="1" applyFill="1" applyBorder="1" applyAlignment="1">
      <alignment horizontal="center" vertical="center"/>
    </xf>
    <xf numFmtId="49" fontId="56" fillId="0" borderId="391" xfId="1" applyNumberFormat="1" applyFont="1" applyFill="1" applyBorder="1" applyAlignment="1">
      <alignment horizontal="center" vertical="center" wrapText="1"/>
    </xf>
    <xf numFmtId="49" fontId="56" fillId="0" borderId="42" xfId="1" applyNumberFormat="1" applyFont="1" applyFill="1" applyBorder="1" applyAlignment="1">
      <alignment horizontal="center" vertical="center" wrapText="1"/>
    </xf>
    <xf numFmtId="49" fontId="56" fillId="0" borderId="43" xfId="1" applyNumberFormat="1" applyFont="1" applyFill="1" applyBorder="1" applyAlignment="1">
      <alignment horizontal="center" vertical="center"/>
    </xf>
    <xf numFmtId="49" fontId="56" fillId="0" borderId="43" xfId="1" applyNumberFormat="1" applyFont="1" applyFill="1" applyBorder="1" applyAlignment="1">
      <alignment horizontal="center" vertical="center" wrapText="1"/>
    </xf>
    <xf numFmtId="0" fontId="56" fillId="19" borderId="394" xfId="1" applyFont="1" applyFill="1" applyBorder="1" applyAlignment="1">
      <alignment horizontal="center" vertical="center"/>
    </xf>
    <xf numFmtId="0" fontId="56" fillId="19" borderId="395" xfId="1" applyFont="1" applyFill="1" applyBorder="1" applyAlignment="1">
      <alignment horizontal="center" vertical="center"/>
    </xf>
    <xf numFmtId="0" fontId="56" fillId="19" borderId="389" xfId="1" applyFont="1" applyFill="1" applyBorder="1" applyAlignment="1">
      <alignment horizontal="center" vertical="center"/>
    </xf>
    <xf numFmtId="0" fontId="56" fillId="19" borderId="389" xfId="1" applyFont="1" applyFill="1" applyBorder="1" applyAlignment="1">
      <alignment horizontal="center" vertical="center" wrapText="1"/>
    </xf>
    <xf numFmtId="49" fontId="56" fillId="5" borderId="382" xfId="1" applyNumberFormat="1" applyFont="1" applyFill="1" applyBorder="1" applyAlignment="1">
      <alignment horizontal="center" vertical="center"/>
    </xf>
    <xf numFmtId="49" fontId="56" fillId="5" borderId="60" xfId="1" applyNumberFormat="1" applyFont="1" applyFill="1" applyBorder="1" applyAlignment="1">
      <alignment horizontal="center" vertical="center"/>
    </xf>
    <xf numFmtId="3" fontId="84" fillId="0" borderId="0" xfId="1" applyNumberFormat="1" applyFont="1" applyAlignment="1">
      <alignment horizontal="center" vertical="center" wrapText="1"/>
    </xf>
    <xf numFmtId="0" fontId="84" fillId="0" borderId="0" xfId="1" applyFont="1" applyAlignment="1">
      <alignment horizontal="center" vertical="center" wrapText="1"/>
    </xf>
    <xf numFmtId="0" fontId="56" fillId="19" borderId="394" xfId="1" applyFont="1" applyFill="1" applyBorder="1" applyAlignment="1">
      <alignment horizontal="center" vertical="center" wrapText="1"/>
    </xf>
    <xf numFmtId="0" fontId="56" fillId="19" borderId="395" xfId="1" applyFont="1" applyFill="1" applyBorder="1" applyAlignment="1">
      <alignment horizontal="center" vertical="center" wrapText="1"/>
    </xf>
    <xf numFmtId="49" fontId="56" fillId="0" borderId="28" xfId="1" applyNumberFormat="1" applyFont="1" applyBorder="1" applyAlignment="1">
      <alignment horizontal="center" vertical="top"/>
    </xf>
    <xf numFmtId="49" fontId="56" fillId="0" borderId="406" xfId="1" applyNumberFormat="1" applyFont="1" applyFill="1" applyBorder="1" applyAlignment="1">
      <alignment horizontal="center" vertical="center"/>
    </xf>
    <xf numFmtId="49" fontId="56" fillId="0" borderId="54" xfId="1" applyNumberFormat="1" applyFont="1" applyFill="1" applyBorder="1" applyAlignment="1">
      <alignment horizontal="center" vertical="center"/>
    </xf>
    <xf numFmtId="49" fontId="20" fillId="2" borderId="7" xfId="1" applyNumberFormat="1" applyFont="1" applyFill="1" applyBorder="1" applyAlignment="1">
      <alignment horizontal="center" vertical="center"/>
    </xf>
    <xf numFmtId="49" fontId="20" fillId="2" borderId="8" xfId="1" applyNumberFormat="1" applyFont="1" applyFill="1" applyBorder="1" applyAlignment="1">
      <alignment horizontal="center" vertical="center"/>
    </xf>
    <xf numFmtId="49" fontId="22" fillId="0" borderId="10" xfId="1" applyNumberFormat="1" applyFont="1" applyBorder="1" applyAlignment="1">
      <alignment horizontal="center" vertical="center"/>
    </xf>
    <xf numFmtId="0" fontId="23" fillId="3" borderId="5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49" fontId="17" fillId="3" borderId="75" xfId="1" applyNumberFormat="1" applyFont="1" applyFill="1" applyBorder="1" applyAlignment="1">
      <alignment horizontal="center" vertical="center" wrapText="1"/>
    </xf>
    <xf numFmtId="49" fontId="17" fillId="3" borderId="37" xfId="1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49" fontId="25" fillId="3" borderId="51" xfId="1" applyNumberFormat="1" applyFont="1" applyFill="1" applyBorder="1" applyAlignment="1">
      <alignment horizontal="center" vertical="center"/>
    </xf>
    <xf numFmtId="49" fontId="25" fillId="3" borderId="1" xfId="1" applyNumberFormat="1" applyFont="1" applyFill="1" applyBorder="1" applyAlignment="1">
      <alignment horizontal="center" vertical="center"/>
    </xf>
    <xf numFmtId="49" fontId="25" fillId="3" borderId="75" xfId="1" applyNumberFormat="1" applyFont="1" applyFill="1" applyBorder="1" applyAlignment="1">
      <alignment horizontal="center" vertical="center" wrapText="1"/>
    </xf>
    <xf numFmtId="49" fontId="25" fillId="3" borderId="37" xfId="1" applyNumberFormat="1" applyFont="1" applyFill="1" applyBorder="1" applyAlignment="1">
      <alignment horizontal="center" vertical="center" wrapText="1"/>
    </xf>
    <xf numFmtId="0" fontId="23" fillId="3" borderId="4" xfId="1" applyFont="1" applyFill="1" applyBorder="1" applyAlignment="1">
      <alignment horizontal="center" vertical="center" wrapText="1"/>
    </xf>
    <xf numFmtId="49" fontId="13" fillId="3" borderId="51" xfId="1" applyNumberFormat="1" applyFont="1" applyFill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center" vertical="center"/>
    </xf>
    <xf numFmtId="0" fontId="13" fillId="3" borderId="75" xfId="1" applyFont="1" applyFill="1" applyBorder="1" applyAlignment="1">
      <alignment horizontal="center" vertical="center" wrapText="1"/>
    </xf>
    <xf numFmtId="0" fontId="13" fillId="3" borderId="37" xfId="1" applyFont="1" applyFill="1" applyBorder="1" applyAlignment="1">
      <alignment horizontal="center" vertical="center" wrapText="1"/>
    </xf>
    <xf numFmtId="0" fontId="23" fillId="3" borderId="21" xfId="1" applyFont="1" applyFill="1" applyBorder="1" applyAlignment="1">
      <alignment horizontal="center" vertical="center" wrapText="1"/>
    </xf>
    <xf numFmtId="0" fontId="23" fillId="3" borderId="17" xfId="1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/>
    </xf>
    <xf numFmtId="0" fontId="42" fillId="3" borderId="75" xfId="1" applyFont="1" applyFill="1" applyBorder="1" applyAlignment="1">
      <alignment horizontal="center" vertical="center" wrapText="1"/>
    </xf>
    <xf numFmtId="0" fontId="42" fillId="3" borderId="37" xfId="1" applyFont="1" applyFill="1" applyBorder="1" applyAlignment="1">
      <alignment horizontal="center" vertical="center" wrapText="1"/>
    </xf>
    <xf numFmtId="0" fontId="23" fillId="3" borderId="37" xfId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/>
    </xf>
    <xf numFmtId="49" fontId="17" fillId="3" borderId="51" xfId="1" applyNumberFormat="1" applyFont="1" applyFill="1" applyBorder="1" applyAlignment="1">
      <alignment horizontal="center" vertical="center"/>
    </xf>
    <xf numFmtId="49" fontId="17" fillId="3" borderId="1" xfId="1" applyNumberFormat="1" applyFont="1" applyFill="1" applyBorder="1" applyAlignment="1">
      <alignment horizontal="center" vertical="center"/>
    </xf>
    <xf numFmtId="49" fontId="13" fillId="0" borderId="21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 wrapText="1"/>
    </xf>
    <xf numFmtId="0" fontId="13" fillId="2" borderId="37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4" fillId="0" borderId="51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7" fillId="4" borderId="50" xfId="22" applyFont="1" applyFill="1" applyBorder="1" applyAlignment="1">
      <alignment horizontal="left" vertical="center" wrapText="1"/>
    </xf>
    <xf numFmtId="0" fontId="13" fillId="5" borderId="8" xfId="5" applyFont="1" applyFill="1" applyBorder="1" applyAlignment="1">
      <alignment horizontal="center" vertical="center"/>
    </xf>
    <xf numFmtId="0" fontId="13" fillId="5" borderId="9" xfId="5" applyFont="1" applyFill="1" applyBorder="1" applyAlignment="1">
      <alignment horizontal="center" vertical="center"/>
    </xf>
    <xf numFmtId="0" fontId="30" fillId="0" borderId="0" xfId="5" applyFont="1" applyBorder="1" applyAlignment="1">
      <alignment horizontal="center" vertical="center" wrapText="1"/>
    </xf>
    <xf numFmtId="0" fontId="14" fillId="5" borderId="8" xfId="4" applyFont="1" applyFill="1" applyBorder="1" applyAlignment="1">
      <alignment horizontal="center" vertical="center"/>
    </xf>
    <xf numFmtId="0" fontId="13" fillId="5" borderId="7" xfId="5" applyFont="1" applyFill="1" applyBorder="1" applyAlignment="1">
      <alignment horizontal="center" vertical="center"/>
    </xf>
    <xf numFmtId="49" fontId="39" fillId="2" borderId="8" xfId="1" applyNumberFormat="1" applyFont="1" applyFill="1" applyBorder="1" applyAlignment="1">
      <alignment horizontal="center" vertical="center"/>
    </xf>
    <xf numFmtId="49" fontId="39" fillId="2" borderId="9" xfId="1" applyNumberFormat="1" applyFont="1" applyFill="1" applyBorder="1" applyAlignment="1">
      <alignment horizontal="center" vertical="center"/>
    </xf>
    <xf numFmtId="49" fontId="39" fillId="2" borderId="5" xfId="1" applyNumberFormat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 wrapText="1"/>
    </xf>
    <xf numFmtId="49" fontId="13" fillId="0" borderId="17" xfId="1" applyNumberFormat="1" applyFont="1" applyBorder="1" applyAlignment="1">
      <alignment horizontal="center" vertical="center"/>
    </xf>
    <xf numFmtId="49" fontId="13" fillId="0" borderId="51" xfId="1" applyNumberFormat="1" applyFont="1" applyBorder="1" applyAlignment="1">
      <alignment horizontal="center" vertical="center"/>
    </xf>
    <xf numFmtId="49" fontId="17" fillId="3" borderId="18" xfId="1" applyNumberFormat="1" applyFont="1" applyFill="1" applyBorder="1" applyAlignment="1">
      <alignment horizontal="center" vertical="center"/>
    </xf>
    <xf numFmtId="49" fontId="17" fillId="3" borderId="385" xfId="1" applyNumberFormat="1" applyFont="1" applyFill="1" applyBorder="1" applyAlignment="1">
      <alignment horizontal="center" vertical="center"/>
    </xf>
    <xf numFmtId="0" fontId="16" fillId="3" borderId="408" xfId="1" applyFont="1" applyFill="1" applyBorder="1" applyAlignment="1">
      <alignment horizontal="center" vertical="center" wrapText="1"/>
    </xf>
    <xf numFmtId="0" fontId="16" fillId="3" borderId="101" xfId="1" applyFont="1" applyFill="1" applyBorder="1" applyAlignment="1">
      <alignment horizontal="center" vertical="center" wrapText="1"/>
    </xf>
    <xf numFmtId="49" fontId="13" fillId="0" borderId="45" xfId="1" applyNumberFormat="1" applyFont="1" applyBorder="1" applyAlignment="1">
      <alignment horizontal="center" vertical="center"/>
    </xf>
    <xf numFmtId="3" fontId="17" fillId="3" borderId="21" xfId="1" applyNumberFormat="1" applyFont="1" applyFill="1" applyBorder="1" applyAlignment="1">
      <alignment horizontal="right" vertical="center" wrapText="1"/>
    </xf>
    <xf numFmtId="3" fontId="17" fillId="3" borderId="1" xfId="1" applyNumberFormat="1" applyFont="1" applyFill="1" applyBorder="1" applyAlignment="1">
      <alignment horizontal="right" vertical="center" wrapText="1"/>
    </xf>
    <xf numFmtId="3" fontId="17" fillId="3" borderId="4" xfId="1" applyNumberFormat="1" applyFont="1" applyFill="1" applyBorder="1" applyAlignment="1">
      <alignment horizontal="right" vertical="center" wrapText="1"/>
    </xf>
    <xf numFmtId="49" fontId="17" fillId="3" borderId="21" xfId="1" applyNumberFormat="1" applyFont="1" applyFill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center" vertical="center"/>
    </xf>
    <xf numFmtId="3" fontId="17" fillId="3" borderId="59" xfId="1" applyNumberFormat="1" applyFont="1" applyFill="1" applyBorder="1" applyAlignment="1">
      <alignment horizontal="right" vertical="center"/>
    </xf>
    <xf numFmtId="3" fontId="17" fillId="3" borderId="13" xfId="1" applyNumberFormat="1" applyFont="1" applyFill="1" applyBorder="1" applyAlignment="1">
      <alignment horizontal="right" vertical="center"/>
    </xf>
    <xf numFmtId="3" fontId="17" fillId="3" borderId="36" xfId="1" applyNumberFormat="1" applyFont="1" applyFill="1" applyBorder="1" applyAlignment="1">
      <alignment horizontal="right" vertical="center"/>
    </xf>
    <xf numFmtId="3" fontId="17" fillId="3" borderId="56" xfId="1" applyNumberFormat="1" applyFont="1" applyFill="1" applyBorder="1" applyAlignment="1">
      <alignment horizontal="right" vertical="center"/>
    </xf>
    <xf numFmtId="3" fontId="17" fillId="3" borderId="53" xfId="1" applyNumberFormat="1" applyFont="1" applyFill="1" applyBorder="1" applyAlignment="1">
      <alignment horizontal="right" vertical="center"/>
    </xf>
    <xf numFmtId="3" fontId="17" fillId="3" borderId="38" xfId="1" applyNumberFormat="1" applyFont="1" applyFill="1" applyBorder="1" applyAlignment="1">
      <alignment horizontal="right" vertical="center"/>
    </xf>
    <xf numFmtId="3" fontId="17" fillId="3" borderId="21" xfId="1" applyNumberFormat="1" applyFont="1" applyFill="1" applyBorder="1" applyAlignment="1">
      <alignment horizontal="right" vertical="center"/>
    </xf>
    <xf numFmtId="3" fontId="17" fillId="3" borderId="1" xfId="1" applyNumberFormat="1" applyFont="1" applyFill="1" applyBorder="1" applyAlignment="1">
      <alignment horizontal="right" vertical="center"/>
    </xf>
    <xf numFmtId="3" fontId="17" fillId="3" borderId="4" xfId="1" applyNumberFormat="1" applyFont="1" applyFill="1" applyBorder="1" applyAlignment="1">
      <alignment horizontal="right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49" fontId="13" fillId="0" borderId="213" xfId="1" applyNumberFormat="1" applyFont="1" applyBorder="1" applyAlignment="1">
      <alignment horizontal="center" vertical="center"/>
    </xf>
    <xf numFmtId="49" fontId="13" fillId="0" borderId="137" xfId="1" applyNumberFormat="1" applyFont="1" applyBorder="1" applyAlignment="1">
      <alignment horizontal="center" vertical="center"/>
    </xf>
    <xf numFmtId="3" fontId="17" fillId="3" borderId="23" xfId="1" applyNumberFormat="1" applyFont="1" applyFill="1" applyBorder="1" applyAlignment="1">
      <alignment horizontal="right" vertical="center" wrapText="1"/>
    </xf>
    <xf numFmtId="3" fontId="17" fillId="3" borderId="37" xfId="1" applyNumberFormat="1" applyFont="1" applyFill="1" applyBorder="1" applyAlignment="1">
      <alignment horizontal="right" vertical="center" wrapText="1"/>
    </xf>
    <xf numFmtId="3" fontId="17" fillId="3" borderId="25" xfId="1" applyNumberFormat="1" applyFont="1" applyFill="1" applyBorder="1" applyAlignment="1">
      <alignment horizontal="right" vertical="center" wrapText="1"/>
    </xf>
    <xf numFmtId="0" fontId="17" fillId="0" borderId="21" xfId="17" applyFont="1" applyBorder="1" applyAlignment="1">
      <alignment horizontal="left" vertical="center" wrapText="1"/>
    </xf>
    <xf numFmtId="0" fontId="17" fillId="0" borderId="1" xfId="17" applyFont="1" applyBorder="1" applyAlignment="1">
      <alignment horizontal="left" vertical="center" wrapText="1"/>
    </xf>
    <xf numFmtId="0" fontId="17" fillId="0" borderId="4" xfId="17" applyFont="1" applyBorder="1" applyAlignment="1">
      <alignment horizontal="left" vertical="center" wrapText="1"/>
    </xf>
    <xf numFmtId="3" fontId="18" fillId="3" borderId="22" xfId="1" applyNumberFormat="1" applyFont="1" applyFill="1" applyBorder="1" applyAlignment="1">
      <alignment horizontal="right" vertical="center"/>
    </xf>
    <xf numFmtId="3" fontId="18" fillId="3" borderId="10" xfId="1" applyNumberFormat="1" applyFont="1" applyFill="1" applyBorder="1" applyAlignment="1">
      <alignment horizontal="right" vertical="center"/>
    </xf>
    <xf numFmtId="3" fontId="18" fillId="3" borderId="24" xfId="1" applyNumberFormat="1" applyFont="1" applyFill="1" applyBorder="1" applyAlignment="1">
      <alignment horizontal="right" vertical="center"/>
    </xf>
    <xf numFmtId="49" fontId="17" fillId="3" borderId="51" xfId="1" applyNumberFormat="1" applyFont="1" applyFill="1" applyBorder="1" applyAlignment="1">
      <alignment horizontal="center" vertical="center" wrapText="1"/>
    </xf>
    <xf numFmtId="49" fontId="17" fillId="3" borderId="4" xfId="1" applyNumberFormat="1" applyFont="1" applyFill="1" applyBorder="1" applyAlignment="1">
      <alignment horizontal="center" vertical="center" wrapText="1"/>
    </xf>
    <xf numFmtId="49" fontId="22" fillId="0" borderId="21" xfId="1" applyNumberFormat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/>
    </xf>
    <xf numFmtId="49" fontId="22" fillId="0" borderId="4" xfId="1" applyNumberFormat="1" applyFont="1" applyFill="1" applyBorder="1" applyAlignment="1">
      <alignment horizontal="center" vertical="center"/>
    </xf>
    <xf numFmtId="49" fontId="13" fillId="0" borderId="46" xfId="1" applyNumberFormat="1" applyFont="1" applyBorder="1" applyAlignment="1">
      <alignment horizontal="center" vertical="center"/>
    </xf>
    <xf numFmtId="49" fontId="22" fillId="0" borderId="21" xfId="1" applyNumberFormat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49" fontId="17" fillId="3" borderId="21" xfId="1" applyNumberFormat="1" applyFont="1" applyFill="1" applyBorder="1" applyAlignment="1">
      <alignment horizontal="center" vertical="center" wrapText="1"/>
    </xf>
    <xf numFmtId="49" fontId="26" fillId="3" borderId="21" xfId="1" applyNumberFormat="1" applyFont="1" applyFill="1" applyBorder="1" applyAlignment="1">
      <alignment horizontal="center" vertical="center"/>
    </xf>
    <xf numFmtId="49" fontId="26" fillId="3" borderId="4" xfId="1" applyNumberFormat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left" vertical="center" wrapText="1"/>
    </xf>
    <xf numFmtId="0" fontId="17" fillId="3" borderId="44" xfId="1" applyFont="1" applyFill="1" applyBorder="1" applyAlignment="1">
      <alignment horizontal="left" vertical="center" wrapText="1"/>
    </xf>
    <xf numFmtId="0" fontId="45" fillId="0" borderId="0" xfId="1" applyFont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 wrapText="1"/>
    </xf>
    <xf numFmtId="0" fontId="31" fillId="2" borderId="7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49" fontId="25" fillId="3" borderId="17" xfId="1" applyNumberFormat="1" applyFont="1" applyFill="1" applyBorder="1" applyAlignment="1">
      <alignment horizontal="center" vertical="center"/>
    </xf>
    <xf numFmtId="49" fontId="25" fillId="3" borderId="44" xfId="1" applyNumberFormat="1" applyFont="1" applyFill="1" applyBorder="1" applyAlignment="1">
      <alignment horizontal="center" vertical="center"/>
    </xf>
    <xf numFmtId="49" fontId="25" fillId="3" borderId="18" xfId="1" applyNumberFormat="1" applyFont="1" applyFill="1" applyBorder="1" applyAlignment="1">
      <alignment horizontal="center" vertical="center" wrapText="1"/>
    </xf>
    <xf numFmtId="49" fontId="25" fillId="3" borderId="50" xfId="1" applyNumberFormat="1" applyFont="1" applyFill="1" applyBorder="1" applyAlignment="1">
      <alignment horizontal="center" vertical="center" wrapText="1"/>
    </xf>
    <xf numFmtId="49" fontId="20" fillId="2" borderId="4" xfId="1" applyNumberFormat="1" applyFont="1" applyFill="1" applyBorder="1" applyAlignment="1">
      <alignment horizontal="center" vertical="center"/>
    </xf>
    <xf numFmtId="49" fontId="32" fillId="0" borderId="1" xfId="1" applyNumberFormat="1" applyFont="1" applyFill="1" applyBorder="1" applyAlignment="1">
      <alignment horizontal="center" vertical="center"/>
    </xf>
    <xf numFmtId="49" fontId="32" fillId="0" borderId="4" xfId="1" applyNumberFormat="1" applyFont="1" applyFill="1" applyBorder="1" applyAlignment="1">
      <alignment horizontal="center" vertical="center"/>
    </xf>
    <xf numFmtId="49" fontId="32" fillId="0" borderId="1" xfId="1" applyNumberFormat="1" applyFont="1" applyFill="1" applyBorder="1" applyAlignment="1">
      <alignment horizontal="center" vertical="center" wrapText="1"/>
    </xf>
    <xf numFmtId="49" fontId="32" fillId="0" borderId="4" xfId="1" applyNumberFormat="1" applyFont="1" applyFill="1" applyBorder="1" applyAlignment="1">
      <alignment horizontal="center" vertical="center" wrapText="1"/>
    </xf>
    <xf numFmtId="49" fontId="13" fillId="0" borderId="2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center" vertical="center"/>
    </xf>
    <xf numFmtId="49" fontId="20" fillId="0" borderId="21" xfId="1" applyNumberFormat="1" applyFont="1" applyFill="1" applyBorder="1" applyAlignment="1">
      <alignment horizontal="center" vertical="center"/>
    </xf>
    <xf numFmtId="49" fontId="20" fillId="0" borderId="4" xfId="1" applyNumberFormat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3" fontId="17" fillId="3" borderId="79" xfId="1" applyNumberFormat="1" applyFont="1" applyFill="1" applyBorder="1" applyAlignment="1">
      <alignment horizontal="right" vertical="center"/>
    </xf>
    <xf numFmtId="3" fontId="17" fillId="3" borderId="29" xfId="1" applyNumberFormat="1" applyFont="1" applyFill="1" applyBorder="1" applyAlignment="1">
      <alignment horizontal="right" vertical="center"/>
    </xf>
    <xf numFmtId="3" fontId="18" fillId="3" borderId="78" xfId="1" applyNumberFormat="1" applyFont="1" applyFill="1" applyBorder="1" applyAlignment="1">
      <alignment horizontal="center" vertical="center"/>
    </xf>
    <xf numFmtId="3" fontId="18" fillId="3" borderId="28" xfId="1" applyNumberFormat="1" applyFont="1" applyFill="1" applyBorder="1" applyAlignment="1">
      <alignment horizontal="center" vertical="center"/>
    </xf>
    <xf numFmtId="3" fontId="17" fillId="3" borderId="79" xfId="1" applyNumberFormat="1" applyFont="1" applyFill="1" applyBorder="1" applyAlignment="1">
      <alignment horizontal="center" vertical="center"/>
    </xf>
    <xf numFmtId="3" fontId="17" fillId="3" borderId="29" xfId="1" applyNumberFormat="1" applyFont="1" applyFill="1" applyBorder="1" applyAlignment="1">
      <alignment horizontal="center" vertical="center"/>
    </xf>
    <xf numFmtId="0" fontId="12" fillId="0" borderId="0" xfId="19" applyFont="1" applyAlignment="1">
      <alignment horizontal="center" vertical="center"/>
    </xf>
    <xf numFmtId="0" fontId="12" fillId="0" borderId="0" xfId="19" applyFont="1" applyAlignment="1">
      <alignment horizontal="left" vertical="center"/>
    </xf>
  </cellXfs>
  <cellStyles count="24">
    <cellStyle name="Dziesiętny 2" xfId="12"/>
    <cellStyle name="Normalny" xfId="0" builtinId="0"/>
    <cellStyle name="Normalny 2" xfId="1"/>
    <cellStyle name="Normalny 2 2" xfId="2"/>
    <cellStyle name="Normalny 2 2 2" xfId="13"/>
    <cellStyle name="Normalny 2 3" xfId="14"/>
    <cellStyle name="Normalny 2 3 2" xfId="21"/>
    <cellStyle name="Normalny 3" xfId="3"/>
    <cellStyle name="Normalny 3 2" xfId="4"/>
    <cellStyle name="Normalny 3 2 2" xfId="5"/>
    <cellStyle name="Normalny 4" xfId="6"/>
    <cellStyle name="Normalny 5" xfId="9"/>
    <cellStyle name="Normalny 5 2" xfId="16"/>
    <cellStyle name="Normalny 6" xfId="10"/>
    <cellStyle name="Normalny 7" xfId="11"/>
    <cellStyle name="Normalny 7 2" xfId="19"/>
    <cellStyle name="Normalny 7 3" xfId="20"/>
    <cellStyle name="Normalny 8" xfId="17"/>
    <cellStyle name="Normalny_Arkusz1" xfId="22"/>
    <cellStyle name="Procentowy" xfId="23" builtinId="5"/>
    <cellStyle name="Procentowy 2" xfId="7"/>
    <cellStyle name="Procentowy 3" xfId="15"/>
    <cellStyle name="Procentowy 3 2" xfId="18"/>
    <cellStyle name="Walutowy 2" xfId="8"/>
  </cellStyles>
  <dxfs count="0"/>
  <tableStyles count="0" defaultTableStyle="TableStyleMedium9" defaultPivotStyle="PivotStyleLight16"/>
  <colors>
    <mruColors>
      <color rgb="FFFFFF66"/>
      <color rgb="FFFFFFCC"/>
      <color rgb="FFFFFF99"/>
      <color rgb="FFCCFF99"/>
      <color rgb="FFFFCC00"/>
      <color rgb="FFFFFF00"/>
      <color rgb="FFCC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1:H1151"/>
  <sheetViews>
    <sheetView view="pageBreakPreview" topLeftCell="A82" zoomScaleNormal="100" zoomScaleSheetLayoutView="100" workbookViewId="0">
      <selection activeCell="M85" sqref="M85"/>
    </sheetView>
  </sheetViews>
  <sheetFormatPr defaultRowHeight="15"/>
  <cols>
    <col min="1" max="1" width="6.42578125" style="531" customWidth="1"/>
    <col min="2" max="2" width="8.85546875" style="531" customWidth="1"/>
    <col min="3" max="3" width="64" style="532" customWidth="1"/>
    <col min="4" max="4" width="10.7109375" style="532" customWidth="1"/>
    <col min="5" max="6" width="14.85546875" style="533" customWidth="1"/>
    <col min="7" max="7" width="18.42578125" style="533" customWidth="1"/>
    <col min="8" max="8" width="14.85546875" style="534" customWidth="1"/>
    <col min="9" max="16384" width="9.140625" style="535"/>
  </cols>
  <sheetData>
    <row r="1" spans="1:8" ht="15" customHeight="1"/>
    <row r="2" spans="1:8" ht="3.75" customHeight="1">
      <c r="D2" s="2082"/>
      <c r="E2" s="2082"/>
      <c r="F2" s="535"/>
      <c r="G2" s="535"/>
      <c r="H2" s="536"/>
    </row>
    <row r="3" spans="1:8" ht="15" customHeight="1">
      <c r="D3" s="2082"/>
      <c r="E3" s="2082"/>
      <c r="F3" s="535"/>
      <c r="G3" s="535"/>
      <c r="H3" s="536"/>
    </row>
    <row r="4" spans="1:8" ht="49.5" customHeight="1">
      <c r="A4" s="2083" t="s">
        <v>235</v>
      </c>
      <c r="B4" s="2083"/>
      <c r="C4" s="2083"/>
      <c r="D4" s="2083"/>
      <c r="E4" s="2083"/>
      <c r="F4" s="2083"/>
      <c r="G4" s="2083"/>
      <c r="H4" s="2083"/>
    </row>
    <row r="5" spans="1:8" ht="16.5" customHeight="1">
      <c r="A5" s="537"/>
      <c r="B5" s="537"/>
      <c r="C5" s="537"/>
      <c r="D5" s="537"/>
      <c r="E5" s="537"/>
      <c r="F5" s="537"/>
      <c r="G5" s="537"/>
      <c r="H5" s="538"/>
    </row>
    <row r="6" spans="1:8" ht="12" customHeight="1" thickBot="1">
      <c r="A6" s="539"/>
      <c r="B6" s="540"/>
      <c r="C6" s="541"/>
      <c r="D6" s="541"/>
    </row>
    <row r="7" spans="1:8" ht="36.75" customHeight="1" thickBot="1">
      <c r="A7" s="2084" t="s">
        <v>0</v>
      </c>
      <c r="B7" s="2085" t="s">
        <v>236</v>
      </c>
      <c r="C7" s="2086" t="s">
        <v>237</v>
      </c>
      <c r="D7" s="2087" t="s">
        <v>8</v>
      </c>
      <c r="E7" s="2088" t="s">
        <v>238</v>
      </c>
      <c r="F7" s="2088" t="s">
        <v>23</v>
      </c>
      <c r="G7" s="2088" t="s">
        <v>20</v>
      </c>
      <c r="H7" s="2090" t="s">
        <v>239</v>
      </c>
    </row>
    <row r="8" spans="1:8" ht="36.75" customHeight="1" thickBot="1">
      <c r="A8" s="2084"/>
      <c r="B8" s="2085"/>
      <c r="C8" s="2086"/>
      <c r="D8" s="2087"/>
      <c r="E8" s="2089"/>
      <c r="F8" s="2089"/>
      <c r="G8" s="2089"/>
      <c r="H8" s="2091"/>
    </row>
    <row r="9" spans="1:8" ht="15.75" thickBot="1">
      <c r="A9" s="542" t="s">
        <v>1</v>
      </c>
      <c r="B9" s="543" t="s">
        <v>2</v>
      </c>
      <c r="C9" s="544" t="s">
        <v>3</v>
      </c>
      <c r="D9" s="545" t="s">
        <v>4</v>
      </c>
      <c r="E9" s="546" t="s">
        <v>240</v>
      </c>
      <c r="F9" s="546" t="s">
        <v>241</v>
      </c>
      <c r="G9" s="546" t="s">
        <v>242</v>
      </c>
      <c r="H9" s="547" t="s">
        <v>243</v>
      </c>
    </row>
    <row r="10" spans="1:8" ht="15.75" thickBot="1">
      <c r="A10" s="548" t="s">
        <v>5</v>
      </c>
      <c r="B10" s="549"/>
      <c r="C10" s="550" t="s">
        <v>244</v>
      </c>
      <c r="D10" s="551"/>
      <c r="E10" s="552">
        <f>SUM(E11,E28,E37,E43,E54,E50,E19)</f>
        <v>30183158</v>
      </c>
      <c r="F10" s="552">
        <f>SUM(F11,F28,F37,F43,F54,F50,F19)</f>
        <v>26964762</v>
      </c>
      <c r="G10" s="552">
        <f>SUM(G11,G28,G37,G43,G54,G50,G19)</f>
        <v>30871599</v>
      </c>
      <c r="H10" s="553">
        <f>G10/F10</f>
        <v>1.1448867599869785</v>
      </c>
    </row>
    <row r="11" spans="1:8" ht="15.75" thickBot="1">
      <c r="A11" s="2065"/>
      <c r="B11" s="554" t="s">
        <v>245</v>
      </c>
      <c r="C11" s="555" t="s">
        <v>246</v>
      </c>
      <c r="D11" s="556"/>
      <c r="E11" s="557">
        <f>SUM(E12,E18)</f>
        <v>9802000</v>
      </c>
      <c r="F11" s="557">
        <f t="shared" ref="F11:G11" si="0">SUM(F12,F18)</f>
        <v>9802000</v>
      </c>
      <c r="G11" s="557">
        <f t="shared" si="0"/>
        <v>10051931</v>
      </c>
      <c r="H11" s="558">
        <f t="shared" ref="H11:H78" si="1">G11/F11</f>
        <v>1.0254979596000817</v>
      </c>
    </row>
    <row r="12" spans="1:8" ht="15" customHeight="1">
      <c r="A12" s="2065"/>
      <c r="B12" s="1982" t="s">
        <v>247</v>
      </c>
      <c r="C12" s="1982"/>
      <c r="D12" s="559"/>
      <c r="E12" s="560">
        <f>SUM(E13:E17)</f>
        <v>9802000</v>
      </c>
      <c r="F12" s="560">
        <f t="shared" ref="F12:G12" si="2">SUM(F13:F17)</f>
        <v>9802000</v>
      </c>
      <c r="G12" s="560">
        <f t="shared" si="2"/>
        <v>10051931</v>
      </c>
      <c r="H12" s="561">
        <f t="shared" si="1"/>
        <v>1.0254979596000817</v>
      </c>
    </row>
    <row r="13" spans="1:8" ht="15" customHeight="1">
      <c r="A13" s="2065"/>
      <c r="B13" s="1988"/>
      <c r="C13" s="2073" t="s">
        <v>248</v>
      </c>
      <c r="D13" s="562" t="s">
        <v>249</v>
      </c>
      <c r="E13" s="563">
        <v>0</v>
      </c>
      <c r="F13" s="563">
        <v>0</v>
      </c>
      <c r="G13" s="563">
        <v>11249</v>
      </c>
      <c r="H13" s="564"/>
    </row>
    <row r="14" spans="1:8" ht="21" customHeight="1">
      <c r="A14" s="2065"/>
      <c r="B14" s="1989"/>
      <c r="C14" s="2074"/>
      <c r="D14" s="562" t="s">
        <v>250</v>
      </c>
      <c r="E14" s="565">
        <v>9800000</v>
      </c>
      <c r="F14" s="565">
        <v>9800000</v>
      </c>
      <c r="G14" s="565">
        <v>10031985</v>
      </c>
      <c r="H14" s="564">
        <f t="shared" si="1"/>
        <v>1.0236719387755102</v>
      </c>
    </row>
    <row r="15" spans="1:8" ht="21" customHeight="1">
      <c r="A15" s="2065"/>
      <c r="B15" s="1989"/>
      <c r="C15" s="2074"/>
      <c r="D15" s="566" t="s">
        <v>251</v>
      </c>
      <c r="E15" s="565">
        <v>0</v>
      </c>
      <c r="F15" s="565">
        <v>0</v>
      </c>
      <c r="G15" s="565">
        <v>6295</v>
      </c>
      <c r="H15" s="564"/>
    </row>
    <row r="16" spans="1:8" ht="21" customHeight="1">
      <c r="A16" s="2065"/>
      <c r="B16" s="1989"/>
      <c r="C16" s="2074"/>
      <c r="D16" s="566" t="s">
        <v>191</v>
      </c>
      <c r="E16" s="565">
        <v>0</v>
      </c>
      <c r="F16" s="565">
        <v>0</v>
      </c>
      <c r="G16" s="565">
        <v>27</v>
      </c>
      <c r="H16" s="564"/>
    </row>
    <row r="17" spans="1:8" ht="18.75" customHeight="1">
      <c r="A17" s="2065"/>
      <c r="B17" s="1990"/>
      <c r="C17" s="2075"/>
      <c r="D17" s="567" t="s">
        <v>174</v>
      </c>
      <c r="E17" s="565">
        <v>2000</v>
      </c>
      <c r="F17" s="565">
        <v>2000</v>
      </c>
      <c r="G17" s="565">
        <v>2375</v>
      </c>
      <c r="H17" s="564">
        <f t="shared" si="1"/>
        <v>1.1875</v>
      </c>
    </row>
    <row r="18" spans="1:8" ht="15" customHeight="1" thickBot="1">
      <c r="A18" s="2065"/>
      <c r="B18" s="2032" t="s">
        <v>252</v>
      </c>
      <c r="C18" s="2032"/>
      <c r="D18" s="568"/>
      <c r="E18" s="569">
        <v>0</v>
      </c>
      <c r="F18" s="569">
        <v>0</v>
      </c>
      <c r="G18" s="569"/>
      <c r="H18" s="570"/>
    </row>
    <row r="19" spans="1:8" ht="15" customHeight="1" thickBot="1">
      <c r="A19" s="2065"/>
      <c r="B19" s="554" t="s">
        <v>253</v>
      </c>
      <c r="C19" s="555" t="s">
        <v>254</v>
      </c>
      <c r="D19" s="556"/>
      <c r="E19" s="557">
        <f>SUM(E20,E26)</f>
        <v>0</v>
      </c>
      <c r="F19" s="557">
        <f>SUM(F20,F26)</f>
        <v>0</v>
      </c>
      <c r="G19" s="557">
        <f>SUM(G20,G26)</f>
        <v>174334</v>
      </c>
      <c r="H19" s="558"/>
    </row>
    <row r="20" spans="1:8" ht="15" customHeight="1">
      <c r="A20" s="2065"/>
      <c r="B20" s="1982" t="s">
        <v>247</v>
      </c>
      <c r="C20" s="1982"/>
      <c r="D20" s="559"/>
      <c r="E20" s="560">
        <f>SUM(E21:E25)</f>
        <v>0</v>
      </c>
      <c r="F20" s="560">
        <f>SUM(F21:F25)</f>
        <v>0</v>
      </c>
      <c r="G20" s="560">
        <f>SUM(G21:G25)</f>
        <v>155483</v>
      </c>
      <c r="H20" s="561"/>
    </row>
    <row r="21" spans="1:8" ht="15" customHeight="1">
      <c r="A21" s="2065"/>
      <c r="B21" s="2076"/>
      <c r="C21" s="2077" t="s">
        <v>255</v>
      </c>
      <c r="D21" s="571" t="s">
        <v>249</v>
      </c>
      <c r="E21" s="565">
        <v>0</v>
      </c>
      <c r="F21" s="565">
        <v>0</v>
      </c>
      <c r="G21" s="565">
        <v>51163</v>
      </c>
      <c r="H21" s="564"/>
    </row>
    <row r="22" spans="1:8" ht="15" customHeight="1">
      <c r="A22" s="2065"/>
      <c r="B22" s="2065"/>
      <c r="C22" s="2078"/>
      <c r="D22" s="566" t="s">
        <v>250</v>
      </c>
      <c r="E22" s="565">
        <v>0</v>
      </c>
      <c r="F22" s="565">
        <v>0</v>
      </c>
      <c r="G22" s="565">
        <v>59408</v>
      </c>
      <c r="H22" s="564"/>
    </row>
    <row r="23" spans="1:8" ht="15" customHeight="1">
      <c r="A23" s="2065"/>
      <c r="B23" s="2065"/>
      <c r="C23" s="2078"/>
      <c r="D23" s="566" t="s">
        <v>256</v>
      </c>
      <c r="E23" s="565">
        <v>0</v>
      </c>
      <c r="F23" s="565">
        <v>0</v>
      </c>
      <c r="G23" s="565">
        <v>2</v>
      </c>
      <c r="H23" s="564"/>
    </row>
    <row r="24" spans="1:8" ht="15" customHeight="1">
      <c r="A24" s="2065"/>
      <c r="B24" s="2065"/>
      <c r="C24" s="2078"/>
      <c r="D24" s="566" t="s">
        <v>251</v>
      </c>
      <c r="E24" s="565">
        <v>0</v>
      </c>
      <c r="F24" s="565">
        <v>0</v>
      </c>
      <c r="G24" s="565">
        <v>8336</v>
      </c>
      <c r="H24" s="564"/>
    </row>
    <row r="25" spans="1:8" ht="15" customHeight="1">
      <c r="A25" s="2065"/>
      <c r="B25" s="2065"/>
      <c r="C25" s="2078"/>
      <c r="D25" s="562" t="s">
        <v>174</v>
      </c>
      <c r="E25" s="572">
        <v>0</v>
      </c>
      <c r="F25" s="572">
        <v>0</v>
      </c>
      <c r="G25" s="572">
        <v>36574</v>
      </c>
      <c r="H25" s="573"/>
    </row>
    <row r="26" spans="1:8" ht="15" customHeight="1">
      <c r="A26" s="2065"/>
      <c r="B26" s="2043" t="s">
        <v>257</v>
      </c>
      <c r="C26" s="2038"/>
      <c r="D26" s="574"/>
      <c r="E26" s="575">
        <f>E27</f>
        <v>0</v>
      </c>
      <c r="F26" s="575">
        <f t="shared" ref="F26:G26" si="3">F27</f>
        <v>0</v>
      </c>
      <c r="G26" s="575">
        <f t="shared" si="3"/>
        <v>18851</v>
      </c>
      <c r="H26" s="576"/>
    </row>
    <row r="27" spans="1:8" ht="30.75" customHeight="1" thickBot="1">
      <c r="A27" s="2065"/>
      <c r="B27" s="577"/>
      <c r="C27" s="578" t="s">
        <v>255</v>
      </c>
      <c r="D27" s="579" t="s">
        <v>258</v>
      </c>
      <c r="E27" s="580">
        <v>0</v>
      </c>
      <c r="F27" s="580">
        <v>0</v>
      </c>
      <c r="G27" s="580">
        <v>18851</v>
      </c>
      <c r="H27" s="581"/>
    </row>
    <row r="28" spans="1:8" ht="15.75" thickBot="1">
      <c r="A28" s="2065"/>
      <c r="B28" s="582" t="s">
        <v>259</v>
      </c>
      <c r="C28" s="583" t="s">
        <v>260</v>
      </c>
      <c r="D28" s="584"/>
      <c r="E28" s="557">
        <f>SUM(E29,E33)</f>
        <v>7372158</v>
      </c>
      <c r="F28" s="557">
        <f>SUM(F29,F33)</f>
        <v>21183</v>
      </c>
      <c r="G28" s="557">
        <f>SUM(G29,G33)</f>
        <v>13408</v>
      </c>
      <c r="H28" s="558">
        <f t="shared" si="1"/>
        <v>0.63296039276778548</v>
      </c>
    </row>
    <row r="29" spans="1:8">
      <c r="A29" s="2065"/>
      <c r="B29" s="1981" t="s">
        <v>247</v>
      </c>
      <c r="C29" s="2014"/>
      <c r="D29" s="585"/>
      <c r="E29" s="586">
        <f>SUM(E30:E32)</f>
        <v>4354158</v>
      </c>
      <c r="F29" s="586">
        <f t="shared" ref="F29:G29" si="4">SUM(F30:F32)</f>
        <v>21167</v>
      </c>
      <c r="G29" s="586">
        <f t="shared" si="4"/>
        <v>13392</v>
      </c>
      <c r="H29" s="587">
        <f t="shared" si="1"/>
        <v>0.63268294987480511</v>
      </c>
    </row>
    <row r="30" spans="1:8" ht="38.25">
      <c r="A30" s="2065"/>
      <c r="B30" s="2020"/>
      <c r="C30" s="588" t="s">
        <v>261</v>
      </c>
      <c r="D30" s="566" t="s">
        <v>251</v>
      </c>
      <c r="E30" s="589">
        <v>0</v>
      </c>
      <c r="F30" s="589">
        <v>21167</v>
      </c>
      <c r="G30" s="589">
        <v>13214</v>
      </c>
      <c r="H30" s="590">
        <f t="shared" si="1"/>
        <v>0.62427363348608689</v>
      </c>
    </row>
    <row r="31" spans="1:8" ht="41.25" customHeight="1">
      <c r="A31" s="2065"/>
      <c r="B31" s="2071"/>
      <c r="C31" s="591" t="s">
        <v>262</v>
      </c>
      <c r="D31" s="592">
        <v>2210</v>
      </c>
      <c r="E31" s="563">
        <v>4350000</v>
      </c>
      <c r="F31" s="563">
        <v>0</v>
      </c>
      <c r="G31" s="563">
        <v>0</v>
      </c>
      <c r="H31" s="593"/>
    </row>
    <row r="32" spans="1:8" ht="42" customHeight="1">
      <c r="A32" s="2065"/>
      <c r="B32" s="2021"/>
      <c r="C32" s="594" t="s">
        <v>263</v>
      </c>
      <c r="D32" s="595">
        <v>2360</v>
      </c>
      <c r="E32" s="563">
        <v>4158</v>
      </c>
      <c r="F32" s="563">
        <v>0</v>
      </c>
      <c r="G32" s="563">
        <v>178</v>
      </c>
      <c r="H32" s="593"/>
    </row>
    <row r="33" spans="1:8">
      <c r="A33" s="2065"/>
      <c r="B33" s="1983" t="s">
        <v>257</v>
      </c>
      <c r="C33" s="1984"/>
      <c r="D33" s="596"/>
      <c r="E33" s="597">
        <f>SUM(E34:E36)</f>
        <v>3018000</v>
      </c>
      <c r="F33" s="597">
        <f t="shared" ref="F33:G33" si="5">SUM(F34:F36)</f>
        <v>16</v>
      </c>
      <c r="G33" s="597">
        <f t="shared" si="5"/>
        <v>16</v>
      </c>
      <c r="H33" s="598">
        <f>G33/F33</f>
        <v>1</v>
      </c>
    </row>
    <row r="34" spans="1:8" ht="44.25" customHeight="1">
      <c r="A34" s="2065"/>
      <c r="B34" s="2071"/>
      <c r="C34" s="599" t="s">
        <v>264</v>
      </c>
      <c r="D34" s="2059">
        <v>6510</v>
      </c>
      <c r="E34" s="563">
        <v>2727000</v>
      </c>
      <c r="F34" s="563">
        <v>0</v>
      </c>
      <c r="G34" s="563">
        <v>0</v>
      </c>
      <c r="H34" s="593"/>
    </row>
    <row r="35" spans="1:8" ht="76.5" customHeight="1">
      <c r="A35" s="2065"/>
      <c r="B35" s="2071"/>
      <c r="C35" s="600" t="s">
        <v>265</v>
      </c>
      <c r="D35" s="1986"/>
      <c r="E35" s="601">
        <v>291000</v>
      </c>
      <c r="F35" s="601">
        <v>0</v>
      </c>
      <c r="G35" s="601">
        <v>0</v>
      </c>
      <c r="H35" s="602"/>
    </row>
    <row r="36" spans="1:8" ht="40.5" customHeight="1" thickBot="1">
      <c r="A36" s="2065"/>
      <c r="B36" s="603"/>
      <c r="C36" s="604" t="s">
        <v>266</v>
      </c>
      <c r="D36" s="605">
        <v>6690</v>
      </c>
      <c r="E36" s="580">
        <v>0</v>
      </c>
      <c r="F36" s="580">
        <v>16</v>
      </c>
      <c r="G36" s="580">
        <v>16</v>
      </c>
      <c r="H36" s="581">
        <f>G36/F36</f>
        <v>1</v>
      </c>
    </row>
    <row r="37" spans="1:8" ht="15.75" thickBot="1">
      <c r="A37" s="2065"/>
      <c r="B37" s="554" t="s">
        <v>267</v>
      </c>
      <c r="C37" s="606" t="s">
        <v>268</v>
      </c>
      <c r="D37" s="584"/>
      <c r="E37" s="557">
        <f>SUM(E38,E42)</f>
        <v>4915000</v>
      </c>
      <c r="F37" s="557">
        <f>SUM(F38,F42)</f>
        <v>4914349</v>
      </c>
      <c r="G37" s="557">
        <f>SUM(G38,G42)</f>
        <v>4834623</v>
      </c>
      <c r="H37" s="558">
        <f t="shared" si="1"/>
        <v>0.98377689496614917</v>
      </c>
    </row>
    <row r="38" spans="1:8">
      <c r="A38" s="2065"/>
      <c r="B38" s="1981" t="s">
        <v>247</v>
      </c>
      <c r="C38" s="2072"/>
      <c r="D38" s="607"/>
      <c r="E38" s="560">
        <f>SUM(E39:E41)</f>
        <v>4915000</v>
      </c>
      <c r="F38" s="560">
        <f t="shared" ref="F38:G38" si="6">SUM(F39:F41)</f>
        <v>4914349</v>
      </c>
      <c r="G38" s="560">
        <f t="shared" si="6"/>
        <v>4834623</v>
      </c>
      <c r="H38" s="561">
        <f t="shared" si="1"/>
        <v>0.98377689496614917</v>
      </c>
    </row>
    <row r="39" spans="1:8" ht="22.5" customHeight="1">
      <c r="A39" s="2065"/>
      <c r="B39" s="1988"/>
      <c r="C39" s="608" t="s">
        <v>269</v>
      </c>
      <c r="D39" s="566" t="s">
        <v>270</v>
      </c>
      <c r="E39" s="563">
        <v>0</v>
      </c>
      <c r="F39" s="563">
        <v>0</v>
      </c>
      <c r="G39" s="563">
        <v>48934</v>
      </c>
      <c r="H39" s="593"/>
    </row>
    <row r="40" spans="1:8" ht="42.75" customHeight="1">
      <c r="A40" s="2065"/>
      <c r="B40" s="1989"/>
      <c r="C40" s="609" t="s">
        <v>271</v>
      </c>
      <c r="D40" s="610">
        <v>2058</v>
      </c>
      <c r="E40" s="565">
        <v>3127000</v>
      </c>
      <c r="F40" s="565">
        <v>3127000</v>
      </c>
      <c r="G40" s="565">
        <v>3045133</v>
      </c>
      <c r="H40" s="564">
        <f t="shared" si="1"/>
        <v>0.97381931563799173</v>
      </c>
    </row>
    <row r="41" spans="1:8" ht="41.25" customHeight="1">
      <c r="A41" s="2065"/>
      <c r="B41" s="1990"/>
      <c r="C41" s="611" t="s">
        <v>272</v>
      </c>
      <c r="D41" s="612">
        <v>2059</v>
      </c>
      <c r="E41" s="565">
        <v>1788000</v>
      </c>
      <c r="F41" s="565">
        <v>1787349</v>
      </c>
      <c r="G41" s="565">
        <v>1740556</v>
      </c>
      <c r="H41" s="564">
        <f t="shared" si="1"/>
        <v>0.97381988632326422</v>
      </c>
    </row>
    <row r="42" spans="1:8">
      <c r="A42" s="2065"/>
      <c r="B42" s="1983" t="s">
        <v>252</v>
      </c>
      <c r="C42" s="1984"/>
      <c r="D42" s="596"/>
      <c r="E42" s="597">
        <v>0</v>
      </c>
      <c r="F42" s="597">
        <v>0</v>
      </c>
      <c r="G42" s="597">
        <v>0</v>
      </c>
      <c r="H42" s="598"/>
    </row>
    <row r="43" spans="1:8" ht="15.75" thickBot="1">
      <c r="A43" s="2065"/>
      <c r="B43" s="613" t="s">
        <v>9</v>
      </c>
      <c r="C43" s="614" t="s">
        <v>10</v>
      </c>
      <c r="D43" s="615"/>
      <c r="E43" s="616">
        <f>SUM(E49,E44)</f>
        <v>8000000</v>
      </c>
      <c r="F43" s="616">
        <f t="shared" ref="F43:G43" si="7">SUM(F49,F44)</f>
        <v>8000000</v>
      </c>
      <c r="G43" s="616">
        <f t="shared" si="7"/>
        <v>11599535</v>
      </c>
      <c r="H43" s="617">
        <f t="shared" si="1"/>
        <v>1.4499418749999999</v>
      </c>
    </row>
    <row r="44" spans="1:8">
      <c r="A44" s="2065"/>
      <c r="B44" s="2068" t="s">
        <v>247</v>
      </c>
      <c r="C44" s="2068"/>
      <c r="D44" s="618"/>
      <c r="E44" s="560">
        <f>SUM(E45:E48)</f>
        <v>8000000</v>
      </c>
      <c r="F44" s="560">
        <f t="shared" ref="F44:G44" si="8">SUM(F45:F48)</f>
        <v>8000000</v>
      </c>
      <c r="G44" s="560">
        <f t="shared" si="8"/>
        <v>11599535</v>
      </c>
      <c r="H44" s="561">
        <f t="shared" si="1"/>
        <v>1.4499418749999999</v>
      </c>
    </row>
    <row r="45" spans="1:8" ht="18" customHeight="1">
      <c r="A45" s="2065"/>
      <c r="B45" s="2079"/>
      <c r="C45" s="619" t="s">
        <v>273</v>
      </c>
      <c r="D45" s="620" t="s">
        <v>151</v>
      </c>
      <c r="E45" s="565">
        <v>8000000</v>
      </c>
      <c r="F45" s="565">
        <v>8000000</v>
      </c>
      <c r="G45" s="565">
        <v>11535246</v>
      </c>
      <c r="H45" s="564">
        <f t="shared" si="1"/>
        <v>1.4419057500000001</v>
      </c>
    </row>
    <row r="46" spans="1:8" ht="27" customHeight="1">
      <c r="A46" s="2065"/>
      <c r="B46" s="2080"/>
      <c r="C46" s="621" t="s">
        <v>274</v>
      </c>
      <c r="D46" s="622" t="s">
        <v>152</v>
      </c>
      <c r="E46" s="565">
        <v>0</v>
      </c>
      <c r="F46" s="565">
        <v>0</v>
      </c>
      <c r="G46" s="565">
        <v>56891</v>
      </c>
      <c r="H46" s="564"/>
    </row>
    <row r="47" spans="1:8" ht="19.5" customHeight="1">
      <c r="A47" s="2065"/>
      <c r="B47" s="2080"/>
      <c r="C47" s="623" t="s">
        <v>275</v>
      </c>
      <c r="D47" s="622" t="s">
        <v>191</v>
      </c>
      <c r="E47" s="624">
        <v>0</v>
      </c>
      <c r="F47" s="624">
        <v>0</v>
      </c>
      <c r="G47" s="624">
        <v>2624</v>
      </c>
      <c r="H47" s="564"/>
    </row>
    <row r="48" spans="1:8" ht="30.75" customHeight="1">
      <c r="A48" s="2065"/>
      <c r="B48" s="2081"/>
      <c r="C48" s="623" t="s">
        <v>276</v>
      </c>
      <c r="D48" s="625" t="s">
        <v>174</v>
      </c>
      <c r="E48" s="624">
        <v>0</v>
      </c>
      <c r="F48" s="624">
        <v>0</v>
      </c>
      <c r="G48" s="624">
        <v>4774</v>
      </c>
      <c r="H48" s="564"/>
    </row>
    <row r="49" spans="1:8" ht="15.75" thickBot="1">
      <c r="A49" s="2065"/>
      <c r="B49" s="2069" t="s">
        <v>252</v>
      </c>
      <c r="C49" s="2070"/>
      <c r="D49" s="626"/>
      <c r="E49" s="569">
        <v>0</v>
      </c>
      <c r="F49" s="569">
        <v>0</v>
      </c>
      <c r="G49" s="569"/>
      <c r="H49" s="570"/>
    </row>
    <row r="50" spans="1:8" ht="15.75" thickBot="1">
      <c r="A50" s="627"/>
      <c r="B50" s="613" t="s">
        <v>277</v>
      </c>
      <c r="C50" s="614" t="s">
        <v>131</v>
      </c>
      <c r="D50" s="615"/>
      <c r="E50" s="616">
        <f>SUM(E53,E51)</f>
        <v>0</v>
      </c>
      <c r="F50" s="616">
        <f>SUM(F53,F51)</f>
        <v>2500</v>
      </c>
      <c r="G50" s="616">
        <f>SUM(G53,G51)</f>
        <v>0</v>
      </c>
      <c r="H50" s="617">
        <f t="shared" si="1"/>
        <v>0</v>
      </c>
    </row>
    <row r="51" spans="1:8">
      <c r="A51" s="627"/>
      <c r="B51" s="2068" t="s">
        <v>247</v>
      </c>
      <c r="C51" s="2068"/>
      <c r="D51" s="618"/>
      <c r="E51" s="560">
        <f>SUM(E52:E52)</f>
        <v>0</v>
      </c>
      <c r="F51" s="560">
        <f>SUM(F52:F52)</f>
        <v>2500</v>
      </c>
      <c r="G51" s="560">
        <f>SUM(G52:G52)</f>
        <v>0</v>
      </c>
      <c r="H51" s="561">
        <f t="shared" si="1"/>
        <v>0</v>
      </c>
    </row>
    <row r="52" spans="1:8" ht="32.25" customHeight="1">
      <c r="A52" s="627"/>
      <c r="B52" s="628"/>
      <c r="C52" s="619" t="s">
        <v>278</v>
      </c>
      <c r="D52" s="620" t="s">
        <v>251</v>
      </c>
      <c r="E52" s="565">
        <v>0</v>
      </c>
      <c r="F52" s="565">
        <v>2500</v>
      </c>
      <c r="G52" s="565">
        <v>0</v>
      </c>
      <c r="H52" s="564">
        <f t="shared" si="1"/>
        <v>0</v>
      </c>
    </row>
    <row r="53" spans="1:8" ht="15.75" thickBot="1">
      <c r="A53" s="627"/>
      <c r="B53" s="2069" t="s">
        <v>252</v>
      </c>
      <c r="C53" s="2070"/>
      <c r="D53" s="626"/>
      <c r="E53" s="569">
        <v>0</v>
      </c>
      <c r="F53" s="569">
        <v>0</v>
      </c>
      <c r="G53" s="569">
        <v>0</v>
      </c>
      <c r="H53" s="570"/>
    </row>
    <row r="54" spans="1:8" ht="15.75" thickBot="1">
      <c r="A54" s="627"/>
      <c r="B54" s="629" t="s">
        <v>279</v>
      </c>
      <c r="C54" s="606" t="s">
        <v>11</v>
      </c>
      <c r="D54" s="584"/>
      <c r="E54" s="630">
        <f>E55+E59</f>
        <v>94000</v>
      </c>
      <c r="F54" s="630">
        <f>F55+F59</f>
        <v>4224730</v>
      </c>
      <c r="G54" s="630">
        <f>G55+G59</f>
        <v>4197768</v>
      </c>
      <c r="H54" s="631">
        <f t="shared" si="1"/>
        <v>0.99361805369810619</v>
      </c>
    </row>
    <row r="55" spans="1:8">
      <c r="A55" s="627"/>
      <c r="B55" s="1983" t="s">
        <v>247</v>
      </c>
      <c r="C55" s="2029"/>
      <c r="D55" s="596"/>
      <c r="E55" s="597">
        <f>SUM(E56:E58)</f>
        <v>94000</v>
      </c>
      <c r="F55" s="597">
        <f t="shared" ref="F55:G55" si="9">SUM(F56:F58)</f>
        <v>4224730</v>
      </c>
      <c r="G55" s="597">
        <f t="shared" si="9"/>
        <v>4197768</v>
      </c>
      <c r="H55" s="598">
        <f t="shared" si="1"/>
        <v>0.99361805369810619</v>
      </c>
    </row>
    <row r="56" spans="1:8" ht="33" customHeight="1">
      <c r="A56" s="627"/>
      <c r="B56" s="1988"/>
      <c r="C56" s="632" t="s">
        <v>280</v>
      </c>
      <c r="D56" s="620" t="s">
        <v>174</v>
      </c>
      <c r="E56" s="563">
        <v>0</v>
      </c>
      <c r="F56" s="563">
        <v>0</v>
      </c>
      <c r="G56" s="563">
        <v>63</v>
      </c>
      <c r="H56" s="633"/>
    </row>
    <row r="57" spans="1:8" ht="40.5" customHeight="1">
      <c r="A57" s="627"/>
      <c r="B57" s="1989"/>
      <c r="C57" s="634" t="s">
        <v>262</v>
      </c>
      <c r="D57" s="635">
        <v>2210</v>
      </c>
      <c r="E57" s="601">
        <v>94000</v>
      </c>
      <c r="F57" s="601">
        <v>4036410</v>
      </c>
      <c r="G57" s="601">
        <v>4031742</v>
      </c>
      <c r="H57" s="602">
        <f t="shared" si="1"/>
        <v>0.99884352679732735</v>
      </c>
    </row>
    <row r="58" spans="1:8" ht="33.75" customHeight="1">
      <c r="A58" s="627"/>
      <c r="B58" s="1990"/>
      <c r="C58" s="619" t="s">
        <v>281</v>
      </c>
      <c r="D58" s="636">
        <v>2460</v>
      </c>
      <c r="E58" s="624">
        <v>0</v>
      </c>
      <c r="F58" s="624">
        <v>188320</v>
      </c>
      <c r="G58" s="624">
        <v>165963</v>
      </c>
      <c r="H58" s="637">
        <f t="shared" si="1"/>
        <v>0.88128186066270175</v>
      </c>
    </row>
    <row r="59" spans="1:8" ht="15.75" thickBot="1">
      <c r="A59" s="638"/>
      <c r="B59" s="1991" t="s">
        <v>252</v>
      </c>
      <c r="C59" s="1992"/>
      <c r="D59" s="639"/>
      <c r="E59" s="569">
        <v>0</v>
      </c>
      <c r="F59" s="569">
        <v>0</v>
      </c>
      <c r="G59" s="569">
        <v>0</v>
      </c>
      <c r="H59" s="570"/>
    </row>
    <row r="60" spans="1:8" s="646" customFormat="1" ht="15.75" customHeight="1" thickBot="1">
      <c r="A60" s="640" t="s">
        <v>282</v>
      </c>
      <c r="B60" s="641"/>
      <c r="C60" s="642" t="s">
        <v>283</v>
      </c>
      <c r="D60" s="643"/>
      <c r="E60" s="644">
        <f t="shared" ref="E60:G60" si="10">SUM(E61)</f>
        <v>600000</v>
      </c>
      <c r="F60" s="644">
        <f t="shared" si="10"/>
        <v>600000</v>
      </c>
      <c r="G60" s="644">
        <f t="shared" si="10"/>
        <v>470853</v>
      </c>
      <c r="H60" s="645">
        <f t="shared" si="1"/>
        <v>0.78475499999999998</v>
      </c>
    </row>
    <row r="61" spans="1:8" ht="44.25" customHeight="1" thickBot="1">
      <c r="A61" s="2064"/>
      <c r="B61" s="647" t="s">
        <v>284</v>
      </c>
      <c r="C61" s="555" t="s">
        <v>285</v>
      </c>
      <c r="D61" s="556"/>
      <c r="E61" s="557">
        <f t="shared" ref="E61:G61" si="11">SUM(E62,E65)</f>
        <v>600000</v>
      </c>
      <c r="F61" s="557">
        <f t="shared" si="11"/>
        <v>600000</v>
      </c>
      <c r="G61" s="557">
        <f t="shared" si="11"/>
        <v>470853</v>
      </c>
      <c r="H61" s="558">
        <f t="shared" si="1"/>
        <v>0.78475499999999998</v>
      </c>
    </row>
    <row r="62" spans="1:8">
      <c r="A62" s="2065"/>
      <c r="B62" s="2031" t="s">
        <v>247</v>
      </c>
      <c r="C62" s="2025"/>
      <c r="D62" s="585"/>
      <c r="E62" s="560">
        <f t="shared" ref="E62" si="12">SUM(E63:E64)</f>
        <v>600000</v>
      </c>
      <c r="F62" s="560">
        <f t="shared" ref="F62:G62" si="13">SUM(F63:F64)</f>
        <v>600000</v>
      </c>
      <c r="G62" s="560">
        <f t="shared" si="13"/>
        <v>470853</v>
      </c>
      <c r="H62" s="561">
        <f t="shared" si="1"/>
        <v>0.78475499999999998</v>
      </c>
    </row>
    <row r="63" spans="1:8" ht="33.75" customHeight="1">
      <c r="A63" s="2065"/>
      <c r="B63" s="2066"/>
      <c r="C63" s="619" t="s">
        <v>286</v>
      </c>
      <c r="D63" s="636">
        <v>2058</v>
      </c>
      <c r="E63" s="565">
        <v>450000</v>
      </c>
      <c r="F63" s="565">
        <v>450000</v>
      </c>
      <c r="G63" s="565">
        <v>353139</v>
      </c>
      <c r="H63" s="564">
        <f t="shared" si="1"/>
        <v>0.7847533333333333</v>
      </c>
    </row>
    <row r="64" spans="1:8" ht="39" customHeight="1">
      <c r="A64" s="2065"/>
      <c r="B64" s="2067"/>
      <c r="C64" s="623" t="s">
        <v>287</v>
      </c>
      <c r="D64" s="636">
        <v>2059</v>
      </c>
      <c r="E64" s="601">
        <v>150000</v>
      </c>
      <c r="F64" s="601">
        <v>150000</v>
      </c>
      <c r="G64" s="601">
        <v>117714</v>
      </c>
      <c r="H64" s="602">
        <f t="shared" si="1"/>
        <v>0.78476000000000001</v>
      </c>
    </row>
    <row r="65" spans="1:8" ht="15.75" thickBot="1">
      <c r="A65" s="2065"/>
      <c r="B65" s="1983" t="s">
        <v>252</v>
      </c>
      <c r="C65" s="1984"/>
      <c r="D65" s="596"/>
      <c r="E65" s="597">
        <v>0</v>
      </c>
      <c r="F65" s="597">
        <v>0</v>
      </c>
      <c r="G65" s="597">
        <v>0</v>
      </c>
      <c r="H65" s="598"/>
    </row>
    <row r="66" spans="1:8" s="646" customFormat="1" ht="15.75" customHeight="1" thickBot="1">
      <c r="A66" s="640" t="s">
        <v>288</v>
      </c>
      <c r="B66" s="641"/>
      <c r="C66" s="648" t="s">
        <v>289</v>
      </c>
      <c r="D66" s="643"/>
      <c r="E66" s="649">
        <f t="shared" ref="E66:G66" si="14">SUM(E67)</f>
        <v>1368</v>
      </c>
      <c r="F66" s="649">
        <f t="shared" si="14"/>
        <v>1368</v>
      </c>
      <c r="G66" s="649">
        <f t="shared" si="14"/>
        <v>1364</v>
      </c>
      <c r="H66" s="650">
        <f t="shared" si="1"/>
        <v>0.99707602339181289</v>
      </c>
    </row>
    <row r="67" spans="1:8" ht="15" customHeight="1">
      <c r="A67" s="2064"/>
      <c r="B67" s="651" t="s">
        <v>290</v>
      </c>
      <c r="C67" s="652" t="s">
        <v>11</v>
      </c>
      <c r="D67" s="653"/>
      <c r="E67" s="557">
        <f>SUM(E70,E68)</f>
        <v>1368</v>
      </c>
      <c r="F67" s="557">
        <f t="shared" ref="F67:G67" si="15">SUM(F70,F68)</f>
        <v>1368</v>
      </c>
      <c r="G67" s="557">
        <f t="shared" si="15"/>
        <v>1364</v>
      </c>
      <c r="H67" s="558">
        <f t="shared" si="1"/>
        <v>0.99707602339181289</v>
      </c>
    </row>
    <row r="68" spans="1:8">
      <c r="A68" s="2065"/>
      <c r="B68" s="1983" t="s">
        <v>247</v>
      </c>
      <c r="C68" s="2029"/>
      <c r="D68" s="596"/>
      <c r="E68" s="597">
        <f>SUM(E69)</f>
        <v>1368</v>
      </c>
      <c r="F68" s="597">
        <f t="shared" ref="F68" si="16">SUM(F69)</f>
        <v>1368</v>
      </c>
      <c r="G68" s="597">
        <f>SUM(G69)</f>
        <v>1364</v>
      </c>
      <c r="H68" s="598">
        <f t="shared" si="1"/>
        <v>0.99707602339181289</v>
      </c>
    </row>
    <row r="69" spans="1:8" ht="36.75" customHeight="1">
      <c r="A69" s="2065"/>
      <c r="B69" s="654"/>
      <c r="C69" s="655" t="s">
        <v>263</v>
      </c>
      <c r="D69" s="595">
        <v>2360</v>
      </c>
      <c r="E69" s="565">
        <v>1368</v>
      </c>
      <c r="F69" s="565">
        <v>1368</v>
      </c>
      <c r="G69" s="565">
        <v>1364</v>
      </c>
      <c r="H69" s="564">
        <f t="shared" si="1"/>
        <v>0.99707602339181289</v>
      </c>
    </row>
    <row r="70" spans="1:8" ht="15.75" thickBot="1">
      <c r="A70" s="2065"/>
      <c r="B70" s="1991" t="s">
        <v>291</v>
      </c>
      <c r="C70" s="1992"/>
      <c r="D70" s="639"/>
      <c r="E70" s="656">
        <v>0</v>
      </c>
      <c r="F70" s="656">
        <v>0</v>
      </c>
      <c r="G70" s="656">
        <v>0</v>
      </c>
      <c r="H70" s="657"/>
    </row>
    <row r="71" spans="1:8" s="646" customFormat="1" ht="15.75" customHeight="1" thickBot="1">
      <c r="A71" s="640" t="s">
        <v>292</v>
      </c>
      <c r="B71" s="658"/>
      <c r="C71" s="659" t="s">
        <v>293</v>
      </c>
      <c r="D71" s="660"/>
      <c r="E71" s="661">
        <f>E72</f>
        <v>0</v>
      </c>
      <c r="F71" s="661">
        <f t="shared" ref="F71:G71" si="17">F72</f>
        <v>739812</v>
      </c>
      <c r="G71" s="661">
        <f t="shared" si="17"/>
        <v>739807</v>
      </c>
      <c r="H71" s="662">
        <f t="shared" si="1"/>
        <v>0.9999932415262256</v>
      </c>
    </row>
    <row r="72" spans="1:8" ht="15" customHeight="1">
      <c r="A72" s="627"/>
      <c r="B72" s="663" t="s">
        <v>294</v>
      </c>
      <c r="C72" s="664" t="s">
        <v>295</v>
      </c>
      <c r="D72" s="665"/>
      <c r="E72" s="666">
        <f>E73+E77</f>
        <v>0</v>
      </c>
      <c r="F72" s="666">
        <f>F73+F77</f>
        <v>739812</v>
      </c>
      <c r="G72" s="666">
        <f>G73+G77</f>
        <v>739807</v>
      </c>
      <c r="H72" s="667">
        <f t="shared" si="1"/>
        <v>0.9999932415262256</v>
      </c>
    </row>
    <row r="73" spans="1:8" ht="15.75" customHeight="1">
      <c r="A73" s="627"/>
      <c r="B73" s="2043" t="s">
        <v>247</v>
      </c>
      <c r="C73" s="2038"/>
      <c r="D73" s="607"/>
      <c r="E73" s="575">
        <f>E74+E76+E75</f>
        <v>0</v>
      </c>
      <c r="F73" s="575">
        <f t="shared" ref="F73:G73" si="18">F74+F76+F75</f>
        <v>489812</v>
      </c>
      <c r="G73" s="575">
        <f t="shared" si="18"/>
        <v>489807</v>
      </c>
      <c r="H73" s="576">
        <f t="shared" si="1"/>
        <v>0.99998979200182925</v>
      </c>
    </row>
    <row r="74" spans="1:8" ht="51">
      <c r="A74" s="627"/>
      <c r="B74" s="668"/>
      <c r="C74" s="669" t="s">
        <v>296</v>
      </c>
      <c r="D74" s="2002">
        <v>2919</v>
      </c>
      <c r="E74" s="670">
        <v>0</v>
      </c>
      <c r="F74" s="670">
        <v>6503</v>
      </c>
      <c r="G74" s="670">
        <v>6502</v>
      </c>
      <c r="H74" s="671">
        <f>G74/F74</f>
        <v>0.99984622481931418</v>
      </c>
    </row>
    <row r="75" spans="1:8" ht="38.25">
      <c r="A75" s="627"/>
      <c r="B75" s="672"/>
      <c r="C75" s="669" t="s">
        <v>297</v>
      </c>
      <c r="D75" s="2004"/>
      <c r="E75" s="670">
        <v>0</v>
      </c>
      <c r="F75" s="670">
        <v>2010</v>
      </c>
      <c r="G75" s="670">
        <v>2009</v>
      </c>
      <c r="H75" s="671">
        <f>G75/F75</f>
        <v>0.99950248756218907</v>
      </c>
    </row>
    <row r="76" spans="1:8" ht="38.25">
      <c r="A76" s="627"/>
      <c r="B76" s="672"/>
      <c r="C76" s="673" t="s">
        <v>298</v>
      </c>
      <c r="D76" s="674">
        <v>2959</v>
      </c>
      <c r="E76" s="563">
        <v>0</v>
      </c>
      <c r="F76" s="563">
        <v>481299</v>
      </c>
      <c r="G76" s="563">
        <v>481296</v>
      </c>
      <c r="H76" s="593">
        <f t="shared" si="1"/>
        <v>0.99999376686841235</v>
      </c>
    </row>
    <row r="77" spans="1:8">
      <c r="A77" s="627"/>
      <c r="B77" s="1983" t="s">
        <v>257</v>
      </c>
      <c r="C77" s="2029"/>
      <c r="D77" s="675"/>
      <c r="E77" s="575">
        <v>0</v>
      </c>
      <c r="F77" s="575">
        <f>F78</f>
        <v>250000</v>
      </c>
      <c r="G77" s="575">
        <f>G78</f>
        <v>250000</v>
      </c>
      <c r="H77" s="576">
        <f t="shared" si="1"/>
        <v>1</v>
      </c>
    </row>
    <row r="78" spans="1:8" ht="41.25" customHeight="1" thickBot="1">
      <c r="A78" s="627"/>
      <c r="B78" s="676"/>
      <c r="C78" s="677" t="s">
        <v>299</v>
      </c>
      <c r="D78" s="678">
        <v>6697</v>
      </c>
      <c r="E78" s="679">
        <v>0</v>
      </c>
      <c r="F78" s="679">
        <v>250000</v>
      </c>
      <c r="G78" s="679">
        <v>250000</v>
      </c>
      <c r="H78" s="680">
        <f t="shared" si="1"/>
        <v>1</v>
      </c>
    </row>
    <row r="79" spans="1:8" ht="15.75" thickBot="1">
      <c r="A79" s="681">
        <v>600</v>
      </c>
      <c r="B79" s="682"/>
      <c r="C79" s="683" t="s">
        <v>300</v>
      </c>
      <c r="D79" s="551"/>
      <c r="E79" s="552">
        <f>SUM(E80,E96,E102,E107,E130,E92)</f>
        <v>219674246</v>
      </c>
      <c r="F79" s="552">
        <f>SUM(F80,F96,F102,F107,F130,F92)</f>
        <v>228094023</v>
      </c>
      <c r="G79" s="552">
        <f>SUM(G80,G96,G102,G107,G130,G92)</f>
        <v>235580926</v>
      </c>
      <c r="H79" s="553">
        <f t="shared" ref="H79:H145" si="19">G79/F79</f>
        <v>1.0328237579465203</v>
      </c>
    </row>
    <row r="80" spans="1:8" ht="15.75" thickBot="1">
      <c r="A80" s="1898"/>
      <c r="B80" s="684">
        <v>60001</v>
      </c>
      <c r="C80" s="606" t="s">
        <v>129</v>
      </c>
      <c r="D80" s="584"/>
      <c r="E80" s="557">
        <f>SUM(E81,E91)</f>
        <v>49729744</v>
      </c>
      <c r="F80" s="557">
        <f t="shared" ref="F80:G80" si="20">SUM(F81,F91)</f>
        <v>58909960</v>
      </c>
      <c r="G80" s="557">
        <f t="shared" si="20"/>
        <v>63666528</v>
      </c>
      <c r="H80" s="558">
        <f t="shared" si="19"/>
        <v>1.0807430186678111</v>
      </c>
    </row>
    <row r="81" spans="1:8">
      <c r="A81" s="1899"/>
      <c r="B81" s="1981" t="s">
        <v>247</v>
      </c>
      <c r="C81" s="2014"/>
      <c r="D81" s="685"/>
      <c r="E81" s="586">
        <f>SUM(E82:E90)</f>
        <v>49729744</v>
      </c>
      <c r="F81" s="586">
        <f t="shared" ref="F81:G81" si="21">SUM(F82:F90)</f>
        <v>58909960</v>
      </c>
      <c r="G81" s="586">
        <f t="shared" si="21"/>
        <v>63666528</v>
      </c>
      <c r="H81" s="587">
        <f t="shared" si="19"/>
        <v>1.0807430186678111</v>
      </c>
    </row>
    <row r="82" spans="1:8" ht="17.25" customHeight="1">
      <c r="A82" s="1899"/>
      <c r="B82" s="672"/>
      <c r="C82" s="686" t="s">
        <v>1021</v>
      </c>
      <c r="D82" s="687" t="s">
        <v>270</v>
      </c>
      <c r="E82" s="589">
        <v>0</v>
      </c>
      <c r="F82" s="589">
        <v>0</v>
      </c>
      <c r="G82" s="589">
        <v>2985</v>
      </c>
      <c r="H82" s="590"/>
    </row>
    <row r="83" spans="1:8" ht="16.5" customHeight="1">
      <c r="A83" s="1899"/>
      <c r="B83" s="672"/>
      <c r="C83" s="688" t="s">
        <v>1022</v>
      </c>
      <c r="D83" s="687" t="s">
        <v>249</v>
      </c>
      <c r="E83" s="572">
        <v>9487419</v>
      </c>
      <c r="F83" s="572">
        <v>9487419</v>
      </c>
      <c r="G83" s="572">
        <v>7614554</v>
      </c>
      <c r="H83" s="573">
        <f t="shared" si="19"/>
        <v>0.80259488908416499</v>
      </c>
    </row>
    <row r="84" spans="1:8" ht="38.25" customHeight="1">
      <c r="A84" s="1899"/>
      <c r="B84" s="672"/>
      <c r="C84" s="691" t="s">
        <v>1025</v>
      </c>
      <c r="D84" s="689" t="s">
        <v>256</v>
      </c>
      <c r="E84" s="624">
        <v>0</v>
      </c>
      <c r="F84" s="624">
        <v>0</v>
      </c>
      <c r="G84" s="624">
        <v>61667</v>
      </c>
      <c r="H84" s="637"/>
    </row>
    <row r="85" spans="1:8" ht="15.75" customHeight="1">
      <c r="A85" s="1899"/>
      <c r="B85" s="672"/>
      <c r="C85" s="688" t="s">
        <v>302</v>
      </c>
      <c r="D85" s="690" t="s">
        <v>251</v>
      </c>
      <c r="E85" s="565">
        <v>0</v>
      </c>
      <c r="F85" s="565">
        <v>9625500</v>
      </c>
      <c r="G85" s="565">
        <v>9625500</v>
      </c>
      <c r="H85" s="564">
        <f t="shared" si="19"/>
        <v>1</v>
      </c>
    </row>
    <row r="86" spans="1:8" ht="30" customHeight="1">
      <c r="A86" s="1899"/>
      <c r="B86" s="672"/>
      <c r="C86" s="691" t="s">
        <v>1023</v>
      </c>
      <c r="D86" s="1901" t="s">
        <v>191</v>
      </c>
      <c r="E86" s="1902">
        <v>0</v>
      </c>
      <c r="F86" s="1902">
        <v>7234208</v>
      </c>
      <c r="G86" s="1902">
        <v>11993890</v>
      </c>
      <c r="H86" s="1905">
        <f t="shared" si="19"/>
        <v>1.6579409936789211</v>
      </c>
    </row>
    <row r="87" spans="1:8" ht="18" customHeight="1">
      <c r="A87" s="1899"/>
      <c r="B87" s="672"/>
      <c r="C87" s="692" t="s">
        <v>302</v>
      </c>
      <c r="D87" s="693" t="s">
        <v>174</v>
      </c>
      <c r="E87" s="565">
        <v>29474500</v>
      </c>
      <c r="F87" s="565">
        <v>19849000</v>
      </c>
      <c r="G87" s="565">
        <v>19849000</v>
      </c>
      <c r="H87" s="564">
        <f t="shared" si="19"/>
        <v>1</v>
      </c>
    </row>
    <row r="88" spans="1:8" ht="38.25" customHeight="1">
      <c r="A88" s="1899"/>
      <c r="B88" s="672"/>
      <c r="C88" s="694" t="s">
        <v>303</v>
      </c>
      <c r="D88" s="695" t="s">
        <v>77</v>
      </c>
      <c r="E88" s="624">
        <v>0</v>
      </c>
      <c r="F88" s="624">
        <v>17136</v>
      </c>
      <c r="G88" s="624">
        <v>17136</v>
      </c>
      <c r="H88" s="564">
        <f t="shared" si="19"/>
        <v>1</v>
      </c>
    </row>
    <row r="89" spans="1:8" ht="26.25" customHeight="1">
      <c r="A89" s="1899"/>
      <c r="B89" s="672"/>
      <c r="C89" s="696" t="s">
        <v>304</v>
      </c>
      <c r="D89" s="697" t="s">
        <v>305</v>
      </c>
      <c r="E89" s="624">
        <v>10767825</v>
      </c>
      <c r="F89" s="624">
        <v>10767825</v>
      </c>
      <c r="G89" s="624">
        <v>12572925</v>
      </c>
      <c r="H89" s="564">
        <f t="shared" si="19"/>
        <v>1.1676383113581434</v>
      </c>
    </row>
    <row r="90" spans="1:8" ht="40.5" customHeight="1">
      <c r="A90" s="1899"/>
      <c r="B90" s="1897"/>
      <c r="C90" s="698" t="s">
        <v>306</v>
      </c>
      <c r="D90" s="697" t="s">
        <v>307</v>
      </c>
      <c r="E90" s="624">
        <v>0</v>
      </c>
      <c r="F90" s="624">
        <v>1928872</v>
      </c>
      <c r="G90" s="624">
        <v>1928871</v>
      </c>
      <c r="H90" s="564">
        <f t="shared" si="19"/>
        <v>0.99999948156228091</v>
      </c>
    </row>
    <row r="91" spans="1:8" ht="15.75" customHeight="1" thickBot="1">
      <c r="A91" s="1899"/>
      <c r="B91" s="1983" t="s">
        <v>252</v>
      </c>
      <c r="C91" s="2057"/>
      <c r="D91" s="699"/>
      <c r="E91" s="597">
        <v>0</v>
      </c>
      <c r="F91" s="597">
        <v>0</v>
      </c>
      <c r="G91" s="597">
        <v>0</v>
      </c>
      <c r="H91" s="598"/>
    </row>
    <row r="92" spans="1:8" ht="15.75" thickBot="1">
      <c r="A92" s="1899"/>
      <c r="B92" s="684">
        <v>60002</v>
      </c>
      <c r="C92" s="606" t="s">
        <v>308</v>
      </c>
      <c r="D92" s="584"/>
      <c r="E92" s="557">
        <f>E93+E94</f>
        <v>6256270</v>
      </c>
      <c r="F92" s="557">
        <f>F93+F94</f>
        <v>1134934</v>
      </c>
      <c r="G92" s="557">
        <f>G93+G94</f>
        <v>0</v>
      </c>
      <c r="H92" s="558">
        <f t="shared" si="19"/>
        <v>0</v>
      </c>
    </row>
    <row r="93" spans="1:8">
      <c r="A93" s="1899"/>
      <c r="B93" s="1981" t="s">
        <v>309</v>
      </c>
      <c r="C93" s="1999"/>
      <c r="D93" s="685"/>
      <c r="E93" s="586">
        <v>0</v>
      </c>
      <c r="F93" s="586">
        <v>0</v>
      </c>
      <c r="G93" s="586">
        <v>0</v>
      </c>
      <c r="H93" s="587"/>
    </row>
    <row r="94" spans="1:8" ht="15.75" customHeight="1">
      <c r="A94" s="1899"/>
      <c r="B94" s="1983" t="s">
        <v>257</v>
      </c>
      <c r="C94" s="2057"/>
      <c r="D94" s="699"/>
      <c r="E94" s="597">
        <f>E95</f>
        <v>6256270</v>
      </c>
      <c r="F94" s="597">
        <f>F95</f>
        <v>1134934</v>
      </c>
      <c r="G94" s="597">
        <f>G95</f>
        <v>0</v>
      </c>
      <c r="H94" s="598">
        <f t="shared" si="19"/>
        <v>0</v>
      </c>
    </row>
    <row r="95" spans="1:8" ht="52.5" customHeight="1" thickBot="1">
      <c r="A95" s="1899"/>
      <c r="B95" s="700"/>
      <c r="C95" s="701" t="s">
        <v>310</v>
      </c>
      <c r="D95" s="702">
        <v>6257</v>
      </c>
      <c r="E95" s="679">
        <v>6256270</v>
      </c>
      <c r="F95" s="679">
        <v>1134934</v>
      </c>
      <c r="G95" s="679">
        <v>0</v>
      </c>
      <c r="H95" s="680">
        <f t="shared" si="19"/>
        <v>0</v>
      </c>
    </row>
    <row r="96" spans="1:8" ht="15.75" thickBot="1">
      <c r="A96" s="1899"/>
      <c r="B96" s="703">
        <v>60003</v>
      </c>
      <c r="C96" s="704" t="s">
        <v>311</v>
      </c>
      <c r="D96" s="556"/>
      <c r="E96" s="557">
        <f>SUM(E97,E101)</f>
        <v>57000000</v>
      </c>
      <c r="F96" s="557">
        <f t="shared" ref="F96:G96" si="22">SUM(F97,F101)</f>
        <v>57056602</v>
      </c>
      <c r="G96" s="557">
        <f t="shared" si="22"/>
        <v>51987999</v>
      </c>
      <c r="H96" s="558">
        <f t="shared" si="19"/>
        <v>0.91116535471215054</v>
      </c>
    </row>
    <row r="97" spans="1:8">
      <c r="A97" s="1899"/>
      <c r="B97" s="1994" t="s">
        <v>247</v>
      </c>
      <c r="C97" s="2025"/>
      <c r="D97" s="607"/>
      <c r="E97" s="560">
        <f>SUM(E98:E100)</f>
        <v>57000000</v>
      </c>
      <c r="F97" s="560">
        <f t="shared" ref="F97" si="23">SUM(F98:F100)</f>
        <v>57056602</v>
      </c>
      <c r="G97" s="560">
        <f>SUM(G98:G100)</f>
        <v>51987999</v>
      </c>
      <c r="H97" s="561">
        <f t="shared" si="19"/>
        <v>0.91116535471215054</v>
      </c>
    </row>
    <row r="98" spans="1:8" ht="46.5" customHeight="1">
      <c r="A98" s="1899"/>
      <c r="B98" s="1988"/>
      <c r="C98" s="705" t="s">
        <v>312</v>
      </c>
      <c r="D98" s="674" t="s">
        <v>313</v>
      </c>
      <c r="E98" s="563">
        <v>0</v>
      </c>
      <c r="F98" s="563">
        <v>31249</v>
      </c>
      <c r="G98" s="563">
        <v>31909</v>
      </c>
      <c r="H98" s="593">
        <f>G98/F98</f>
        <v>1.0211206758616276</v>
      </c>
    </row>
    <row r="99" spans="1:8" ht="39.75" customHeight="1">
      <c r="A99" s="1899"/>
      <c r="B99" s="1989"/>
      <c r="C99" s="619" t="s">
        <v>262</v>
      </c>
      <c r="D99" s="706">
        <v>2210</v>
      </c>
      <c r="E99" s="565">
        <v>57000000</v>
      </c>
      <c r="F99" s="565">
        <v>56803000</v>
      </c>
      <c r="G99" s="565">
        <v>51731822</v>
      </c>
      <c r="H99" s="593">
        <f t="shared" ref="H99:H100" si="24">G99/F99</f>
        <v>0.9107234124958189</v>
      </c>
    </row>
    <row r="100" spans="1:8" ht="39.75" customHeight="1">
      <c r="A100" s="1899"/>
      <c r="B100" s="1990"/>
      <c r="C100" s="619" t="s">
        <v>314</v>
      </c>
      <c r="D100" s="706" t="s">
        <v>160</v>
      </c>
      <c r="E100" s="565">
        <v>0</v>
      </c>
      <c r="F100" s="565">
        <v>222353</v>
      </c>
      <c r="G100" s="565">
        <v>224268</v>
      </c>
      <c r="H100" s="593">
        <f t="shared" si="24"/>
        <v>1.0086124315840128</v>
      </c>
    </row>
    <row r="101" spans="1:8" ht="15.75" thickBot="1">
      <c r="A101" s="1899"/>
      <c r="B101" s="1991" t="s">
        <v>252</v>
      </c>
      <c r="C101" s="2058"/>
      <c r="D101" s="707"/>
      <c r="E101" s="575">
        <v>0</v>
      </c>
      <c r="F101" s="575">
        <v>0</v>
      </c>
      <c r="G101" s="575">
        <v>0</v>
      </c>
      <c r="H101" s="576"/>
    </row>
    <row r="102" spans="1:8" ht="15.75" thickBot="1">
      <c r="A102" s="1899"/>
      <c r="B102" s="684">
        <v>60004</v>
      </c>
      <c r="C102" s="606" t="s">
        <v>315</v>
      </c>
      <c r="D102" s="584"/>
      <c r="E102" s="557">
        <f>SUM(E106,E103)</f>
        <v>450000</v>
      </c>
      <c r="F102" s="557">
        <f t="shared" ref="F102:G102" si="25">SUM(F106,F103)</f>
        <v>450000</v>
      </c>
      <c r="G102" s="557">
        <f t="shared" si="25"/>
        <v>58109</v>
      </c>
      <c r="H102" s="558">
        <f t="shared" si="19"/>
        <v>0.12913111111111111</v>
      </c>
    </row>
    <row r="103" spans="1:8">
      <c r="A103" s="1899"/>
      <c r="B103" s="2031" t="s">
        <v>247</v>
      </c>
      <c r="C103" s="2025"/>
      <c r="D103" s="607"/>
      <c r="E103" s="560">
        <f>SUM(E104:E105)</f>
        <v>450000</v>
      </c>
      <c r="F103" s="560">
        <f t="shared" ref="F103:G103" si="26">SUM(F104:F105)</f>
        <v>450000</v>
      </c>
      <c r="G103" s="560">
        <f t="shared" si="26"/>
        <v>58109</v>
      </c>
      <c r="H103" s="561">
        <f t="shared" si="19"/>
        <v>0.12913111111111111</v>
      </c>
    </row>
    <row r="104" spans="1:8" ht="18" customHeight="1">
      <c r="A104" s="1899"/>
      <c r="B104" s="1988"/>
      <c r="C104" s="708" t="s">
        <v>316</v>
      </c>
      <c r="D104" s="709" t="s">
        <v>317</v>
      </c>
      <c r="E104" s="563">
        <v>450000</v>
      </c>
      <c r="F104" s="563">
        <v>450000</v>
      </c>
      <c r="G104" s="563">
        <v>57559</v>
      </c>
      <c r="H104" s="593">
        <f t="shared" si="19"/>
        <v>0.12790888888888888</v>
      </c>
    </row>
    <row r="105" spans="1:8" ht="42.75" customHeight="1">
      <c r="A105" s="1899"/>
      <c r="B105" s="1990"/>
      <c r="C105" s="1903" t="s">
        <v>263</v>
      </c>
      <c r="D105" s="1904" t="s">
        <v>125</v>
      </c>
      <c r="E105" s="563">
        <v>0</v>
      </c>
      <c r="F105" s="563">
        <v>0</v>
      </c>
      <c r="G105" s="563">
        <v>550</v>
      </c>
      <c r="H105" s="593"/>
    </row>
    <row r="106" spans="1:8" ht="15.75" thickBot="1">
      <c r="A106" s="1899"/>
      <c r="B106" s="1991" t="s">
        <v>252</v>
      </c>
      <c r="C106" s="1992"/>
      <c r="D106" s="639"/>
      <c r="E106" s="656">
        <v>0</v>
      </c>
      <c r="F106" s="656">
        <v>0</v>
      </c>
      <c r="G106" s="656">
        <v>0</v>
      </c>
      <c r="H106" s="657"/>
    </row>
    <row r="107" spans="1:8" ht="15.75" thickBot="1">
      <c r="A107" s="1899"/>
      <c r="B107" s="710">
        <v>60013</v>
      </c>
      <c r="C107" s="606" t="s">
        <v>12</v>
      </c>
      <c r="D107" s="584"/>
      <c r="E107" s="557">
        <f>SUM(E108,E122)</f>
        <v>106083661</v>
      </c>
      <c r="F107" s="557">
        <f>SUM(F108,F122)</f>
        <v>110347956</v>
      </c>
      <c r="G107" s="557">
        <f>SUM(G108,G122)</f>
        <v>119669238</v>
      </c>
      <c r="H107" s="558">
        <f t="shared" si="19"/>
        <v>1.0844717232460563</v>
      </c>
    </row>
    <row r="108" spans="1:8">
      <c r="A108" s="1899"/>
      <c r="B108" s="1994" t="s">
        <v>247</v>
      </c>
      <c r="C108" s="2019"/>
      <c r="D108" s="607"/>
      <c r="E108" s="560">
        <f>SUM(E109:E121)</f>
        <v>17249651</v>
      </c>
      <c r="F108" s="560">
        <f>SUM(F109:F121)</f>
        <v>19004494</v>
      </c>
      <c r="G108" s="560">
        <f>SUM(G109:G121)</f>
        <v>21532134</v>
      </c>
      <c r="H108" s="561">
        <f t="shared" si="19"/>
        <v>1.1330022256840935</v>
      </c>
    </row>
    <row r="109" spans="1:8">
      <c r="A109" s="1899"/>
      <c r="B109" s="1988"/>
      <c r="C109" s="2061" t="s">
        <v>318</v>
      </c>
      <c r="D109" s="711" t="s">
        <v>319</v>
      </c>
      <c r="E109" s="563">
        <v>0</v>
      </c>
      <c r="F109" s="563">
        <v>0</v>
      </c>
      <c r="G109" s="563">
        <v>13200</v>
      </c>
      <c r="H109" s="633"/>
    </row>
    <row r="110" spans="1:8" ht="15" customHeight="1">
      <c r="A110" s="1899"/>
      <c r="B110" s="1989"/>
      <c r="C110" s="2062"/>
      <c r="D110" s="711" t="s">
        <v>317</v>
      </c>
      <c r="E110" s="563">
        <v>800000</v>
      </c>
      <c r="F110" s="563">
        <v>800000</v>
      </c>
      <c r="G110" s="563">
        <v>1155259</v>
      </c>
      <c r="H110" s="593">
        <f t="shared" si="19"/>
        <v>1.44407375</v>
      </c>
    </row>
    <row r="111" spans="1:8">
      <c r="A111" s="1899"/>
      <c r="B111" s="1989"/>
      <c r="C111" s="2062"/>
      <c r="D111" s="712" t="s">
        <v>270</v>
      </c>
      <c r="E111" s="563">
        <v>0</v>
      </c>
      <c r="F111" s="563">
        <v>0</v>
      </c>
      <c r="G111" s="563">
        <v>35081</v>
      </c>
      <c r="H111" s="593"/>
    </row>
    <row r="112" spans="1:8">
      <c r="A112" s="1899"/>
      <c r="B112" s="1989"/>
      <c r="C112" s="2062"/>
      <c r="D112" s="712" t="s">
        <v>320</v>
      </c>
      <c r="E112" s="563">
        <v>0</v>
      </c>
      <c r="F112" s="563">
        <v>0</v>
      </c>
      <c r="G112" s="563">
        <v>116</v>
      </c>
      <c r="H112" s="593"/>
    </row>
    <row r="113" spans="1:8">
      <c r="A113" s="1899"/>
      <c r="B113" s="1989"/>
      <c r="C113" s="2062"/>
      <c r="D113" s="712" t="s">
        <v>249</v>
      </c>
      <c r="E113" s="563">
        <v>0</v>
      </c>
      <c r="F113" s="563">
        <v>0</v>
      </c>
      <c r="G113" s="563">
        <v>14988</v>
      </c>
      <c r="H113" s="593"/>
    </row>
    <row r="114" spans="1:8">
      <c r="A114" s="1899"/>
      <c r="B114" s="1989"/>
      <c r="C114" s="2062"/>
      <c r="D114" s="712" t="s">
        <v>250</v>
      </c>
      <c r="E114" s="563">
        <v>0</v>
      </c>
      <c r="F114" s="563">
        <v>0</v>
      </c>
      <c r="G114" s="563">
        <v>5169</v>
      </c>
      <c r="H114" s="593"/>
    </row>
    <row r="115" spans="1:8">
      <c r="A115" s="1899"/>
      <c r="B115" s="1989"/>
      <c r="C115" s="2062"/>
      <c r="D115" s="712" t="s">
        <v>256</v>
      </c>
      <c r="E115" s="563">
        <v>0</v>
      </c>
      <c r="F115" s="563">
        <v>0</v>
      </c>
      <c r="G115" s="563">
        <v>8153</v>
      </c>
      <c r="H115" s="593"/>
    </row>
    <row r="116" spans="1:8">
      <c r="A116" s="1899"/>
      <c r="B116" s="1989"/>
      <c r="C116" s="2062"/>
      <c r="D116" s="712" t="s">
        <v>251</v>
      </c>
      <c r="E116" s="563">
        <v>0</v>
      </c>
      <c r="F116" s="563">
        <v>0</v>
      </c>
      <c r="G116" s="563">
        <v>59881</v>
      </c>
      <c r="H116" s="593"/>
    </row>
    <row r="117" spans="1:8">
      <c r="A117" s="1899"/>
      <c r="B117" s="1989"/>
      <c r="C117" s="2062"/>
      <c r="D117" s="712" t="s">
        <v>191</v>
      </c>
      <c r="E117" s="563">
        <v>0</v>
      </c>
      <c r="F117" s="563">
        <v>103866</v>
      </c>
      <c r="G117" s="563">
        <v>893255</v>
      </c>
      <c r="H117" s="593">
        <f>G117/F117</f>
        <v>8.6000712456434254</v>
      </c>
    </row>
    <row r="118" spans="1:8" ht="14.25" customHeight="1">
      <c r="A118" s="1899"/>
      <c r="B118" s="1989"/>
      <c r="C118" s="2063"/>
      <c r="D118" s="620" t="s">
        <v>174</v>
      </c>
      <c r="E118" s="565">
        <v>9000</v>
      </c>
      <c r="F118" s="565">
        <v>9000</v>
      </c>
      <c r="G118" s="565">
        <v>1255410</v>
      </c>
      <c r="H118" s="564">
        <f t="shared" si="19"/>
        <v>139.49</v>
      </c>
    </row>
    <row r="119" spans="1:8" ht="31.5" customHeight="1">
      <c r="A119" s="1899"/>
      <c r="B119" s="1989"/>
      <c r="C119" s="713" t="s">
        <v>321</v>
      </c>
      <c r="D119" s="620" t="s">
        <v>322</v>
      </c>
      <c r="E119" s="565">
        <v>16440651</v>
      </c>
      <c r="F119" s="565">
        <v>16440651</v>
      </c>
      <c r="G119" s="565">
        <v>16440651</v>
      </c>
      <c r="H119" s="564">
        <f t="shared" si="19"/>
        <v>1</v>
      </c>
    </row>
    <row r="120" spans="1:8" ht="31.5" customHeight="1">
      <c r="A120" s="1899"/>
      <c r="B120" s="1989"/>
      <c r="C120" s="714" t="s">
        <v>323</v>
      </c>
      <c r="D120" s="706" t="s">
        <v>324</v>
      </c>
      <c r="E120" s="565">
        <v>0</v>
      </c>
      <c r="F120" s="565">
        <v>250000</v>
      </c>
      <c r="G120" s="565">
        <v>250000</v>
      </c>
      <c r="H120" s="564">
        <f t="shared" si="19"/>
        <v>1</v>
      </c>
    </row>
    <row r="121" spans="1:8" ht="31.5" customHeight="1">
      <c r="A121" s="1899"/>
      <c r="B121" s="1990"/>
      <c r="C121" s="715" t="s">
        <v>325</v>
      </c>
      <c r="D121" s="625" t="s">
        <v>19</v>
      </c>
      <c r="E121" s="601">
        <v>0</v>
      </c>
      <c r="F121" s="601">
        <v>1400977</v>
      </c>
      <c r="G121" s="601">
        <v>1400971</v>
      </c>
      <c r="H121" s="602">
        <f t="shared" si="19"/>
        <v>0.99999571727444492</v>
      </c>
    </row>
    <row r="122" spans="1:8">
      <c r="A122" s="1899"/>
      <c r="B122" s="1983" t="s">
        <v>257</v>
      </c>
      <c r="C122" s="2029"/>
      <c r="D122" s="596"/>
      <c r="E122" s="597">
        <f>SUM(E123:E129)</f>
        <v>88834010</v>
      </c>
      <c r="F122" s="597">
        <f t="shared" ref="F122" si="27">SUM(F123:F129)</f>
        <v>91343462</v>
      </c>
      <c r="G122" s="597">
        <f>SUM(G123:G129)</f>
        <v>98137104</v>
      </c>
      <c r="H122" s="598">
        <f t="shared" si="19"/>
        <v>1.0743746936151817</v>
      </c>
    </row>
    <row r="123" spans="1:8" ht="25.5">
      <c r="A123" s="1899"/>
      <c r="B123" s="1988"/>
      <c r="C123" s="632" t="s">
        <v>326</v>
      </c>
      <c r="D123" s="674" t="s">
        <v>258</v>
      </c>
      <c r="E123" s="563">
        <v>0</v>
      </c>
      <c r="F123" s="563">
        <v>0</v>
      </c>
      <c r="G123" s="563">
        <v>255978</v>
      </c>
      <c r="H123" s="633"/>
    </row>
    <row r="124" spans="1:8" ht="39.75" customHeight="1">
      <c r="A124" s="1899"/>
      <c r="B124" s="1989"/>
      <c r="C124" s="716" t="s">
        <v>327</v>
      </c>
      <c r="D124" s="2059">
        <v>6257</v>
      </c>
      <c r="E124" s="624">
        <f>80379462-2125000</f>
        <v>78254462</v>
      </c>
      <c r="F124" s="670">
        <v>76305748</v>
      </c>
      <c r="G124" s="670">
        <v>74566216</v>
      </c>
      <c r="H124" s="637">
        <f t="shared" si="19"/>
        <v>0.97720313284917937</v>
      </c>
    </row>
    <row r="125" spans="1:8" ht="41.25" customHeight="1">
      <c r="A125" s="1899"/>
      <c r="B125" s="1989"/>
      <c r="C125" s="717" t="s">
        <v>328</v>
      </c>
      <c r="D125" s="2060"/>
      <c r="E125" s="563">
        <v>1462735</v>
      </c>
      <c r="F125" s="563">
        <v>1462735</v>
      </c>
      <c r="G125" s="563">
        <v>1757916</v>
      </c>
      <c r="H125" s="637">
        <f t="shared" si="19"/>
        <v>1.2018007362919463</v>
      </c>
    </row>
    <row r="126" spans="1:8" ht="55.5" customHeight="1">
      <c r="A126" s="1899"/>
      <c r="B126" s="1989"/>
      <c r="C126" s="718" t="s">
        <v>329</v>
      </c>
      <c r="D126" s="719">
        <v>6258</v>
      </c>
      <c r="E126" s="563">
        <v>0</v>
      </c>
      <c r="F126" s="563">
        <v>1000000</v>
      </c>
      <c r="G126" s="563">
        <v>11148387</v>
      </c>
      <c r="H126" s="593">
        <f t="shared" si="19"/>
        <v>11.148387</v>
      </c>
    </row>
    <row r="127" spans="1:8" ht="52.5" customHeight="1">
      <c r="A127" s="1899"/>
      <c r="B127" s="1989"/>
      <c r="C127" s="716" t="s">
        <v>330</v>
      </c>
      <c r="D127" s="719">
        <v>6280</v>
      </c>
      <c r="E127" s="563">
        <v>0</v>
      </c>
      <c r="F127" s="563">
        <v>90000</v>
      </c>
      <c r="G127" s="563">
        <v>88104</v>
      </c>
      <c r="H127" s="593">
        <f t="shared" si="19"/>
        <v>0.97893333333333332</v>
      </c>
    </row>
    <row r="128" spans="1:8" ht="21" customHeight="1">
      <c r="A128" s="1899"/>
      <c r="B128" s="1989"/>
      <c r="C128" s="2040" t="s">
        <v>331</v>
      </c>
      <c r="D128" s="592">
        <v>6300</v>
      </c>
      <c r="E128" s="565">
        <v>2320597</v>
      </c>
      <c r="F128" s="565">
        <v>11399165</v>
      </c>
      <c r="G128" s="565">
        <v>9234691</v>
      </c>
      <c r="H128" s="564">
        <f t="shared" si="19"/>
        <v>0.81011995176839702</v>
      </c>
    </row>
    <row r="129" spans="1:8" ht="20.25" customHeight="1" thickBot="1">
      <c r="A129" s="1899"/>
      <c r="B129" s="2052"/>
      <c r="C129" s="2042"/>
      <c r="D129" s="592">
        <v>6309</v>
      </c>
      <c r="E129" s="565">
        <v>6796216</v>
      </c>
      <c r="F129" s="565">
        <v>1085814</v>
      </c>
      <c r="G129" s="565">
        <v>1085812</v>
      </c>
      <c r="H129" s="564">
        <f t="shared" si="19"/>
        <v>0.99999815806390413</v>
      </c>
    </row>
    <row r="130" spans="1:8" ht="15.75" thickBot="1">
      <c r="A130" s="1899"/>
      <c r="B130" s="720">
        <v>60095</v>
      </c>
      <c r="C130" s="721" t="s">
        <v>11</v>
      </c>
      <c r="D130" s="722"/>
      <c r="E130" s="723">
        <f>SUM(E131,E135)</f>
        <v>154571</v>
      </c>
      <c r="F130" s="723">
        <f>SUM(F131,F135)</f>
        <v>194571</v>
      </c>
      <c r="G130" s="723">
        <f>SUM(G131,G135)</f>
        <v>199052</v>
      </c>
      <c r="H130" s="724">
        <f t="shared" si="19"/>
        <v>1.023030153517225</v>
      </c>
    </row>
    <row r="131" spans="1:8">
      <c r="A131" s="1899"/>
      <c r="B131" s="2053" t="s">
        <v>247</v>
      </c>
      <c r="C131" s="2054"/>
      <c r="D131" s="725"/>
      <c r="E131" s="726">
        <f>SUM(E132:E134)</f>
        <v>154571</v>
      </c>
      <c r="F131" s="726">
        <f>SUM(F132:F134)</f>
        <v>194571</v>
      </c>
      <c r="G131" s="726">
        <f>SUM(G132:G134)</f>
        <v>199052</v>
      </c>
      <c r="H131" s="727">
        <f t="shared" si="19"/>
        <v>1.023030153517225</v>
      </c>
    </row>
    <row r="132" spans="1:8" ht="59.25" customHeight="1">
      <c r="A132" s="1899"/>
      <c r="B132" s="2055"/>
      <c r="C132" s="728" t="s">
        <v>332</v>
      </c>
      <c r="D132" s="729" t="s">
        <v>151</v>
      </c>
      <c r="E132" s="565">
        <v>2150</v>
      </c>
      <c r="F132" s="565">
        <v>2150</v>
      </c>
      <c r="G132" s="565">
        <v>3650</v>
      </c>
      <c r="H132" s="564">
        <f t="shared" si="19"/>
        <v>1.6976744186046511</v>
      </c>
    </row>
    <row r="133" spans="1:8" ht="38.25">
      <c r="A133" s="1899"/>
      <c r="B133" s="2056"/>
      <c r="C133" s="730" t="s">
        <v>262</v>
      </c>
      <c r="D133" s="731">
        <v>2210</v>
      </c>
      <c r="E133" s="565">
        <v>149000</v>
      </c>
      <c r="F133" s="565">
        <v>189000</v>
      </c>
      <c r="G133" s="565">
        <v>189000</v>
      </c>
      <c r="H133" s="564">
        <f t="shared" si="19"/>
        <v>1</v>
      </c>
    </row>
    <row r="134" spans="1:8" ht="38.25">
      <c r="A134" s="1899"/>
      <c r="B134" s="2056"/>
      <c r="C134" s="732" t="s">
        <v>263</v>
      </c>
      <c r="D134" s="733">
        <v>2360</v>
      </c>
      <c r="E134" s="565">
        <v>3421</v>
      </c>
      <c r="F134" s="565">
        <v>3421</v>
      </c>
      <c r="G134" s="565">
        <v>6402</v>
      </c>
      <c r="H134" s="564">
        <f t="shared" si="19"/>
        <v>1.8713826366559485</v>
      </c>
    </row>
    <row r="135" spans="1:8" ht="15.75" thickBot="1">
      <c r="A135" s="1900"/>
      <c r="B135" s="1991" t="s">
        <v>252</v>
      </c>
      <c r="C135" s="2024"/>
      <c r="D135" s="734"/>
      <c r="E135" s="569">
        <v>0</v>
      </c>
      <c r="F135" s="569">
        <v>0</v>
      </c>
      <c r="G135" s="569">
        <v>0</v>
      </c>
      <c r="H135" s="570"/>
    </row>
    <row r="136" spans="1:8" ht="15.75" thickBot="1">
      <c r="A136" s="735">
        <v>630</v>
      </c>
      <c r="B136" s="736"/>
      <c r="C136" s="737" t="s">
        <v>73</v>
      </c>
      <c r="D136" s="738"/>
      <c r="E136" s="552">
        <f>E137</f>
        <v>34000</v>
      </c>
      <c r="F136" s="552">
        <f>F137</f>
        <v>34000</v>
      </c>
      <c r="G136" s="552">
        <f>G137</f>
        <v>34000</v>
      </c>
      <c r="H136" s="553">
        <f t="shared" si="19"/>
        <v>1</v>
      </c>
    </row>
    <row r="137" spans="1:8" ht="15.75" thickBot="1">
      <c r="A137" s="1985"/>
      <c r="B137" s="720">
        <v>63095</v>
      </c>
      <c r="C137" s="721" t="s">
        <v>11</v>
      </c>
      <c r="D137" s="739"/>
      <c r="E137" s="630">
        <f>E138+E140</f>
        <v>34000</v>
      </c>
      <c r="F137" s="630">
        <f>F138+F140</f>
        <v>34000</v>
      </c>
      <c r="G137" s="630">
        <f>G138+G140</f>
        <v>34000</v>
      </c>
      <c r="H137" s="631">
        <f t="shared" si="19"/>
        <v>1</v>
      </c>
    </row>
    <row r="138" spans="1:8">
      <c r="A138" s="1986"/>
      <c r="B138" s="1981" t="s">
        <v>247</v>
      </c>
      <c r="C138" s="2009"/>
      <c r="D138" s="740"/>
      <c r="E138" s="726">
        <f t="shared" ref="E138:G138" si="28">E139</f>
        <v>34000</v>
      </c>
      <c r="F138" s="726">
        <f t="shared" si="28"/>
        <v>34000</v>
      </c>
      <c r="G138" s="726">
        <f t="shared" si="28"/>
        <v>34000</v>
      </c>
      <c r="H138" s="727">
        <f t="shared" si="19"/>
        <v>1</v>
      </c>
    </row>
    <row r="139" spans="1:8" ht="41.25" customHeight="1">
      <c r="A139" s="1986"/>
      <c r="B139" s="741"/>
      <c r="C139" s="730" t="s">
        <v>262</v>
      </c>
      <c r="D139" s="731">
        <v>2210</v>
      </c>
      <c r="E139" s="565">
        <v>34000</v>
      </c>
      <c r="F139" s="565">
        <v>34000</v>
      </c>
      <c r="G139" s="565">
        <v>34000</v>
      </c>
      <c r="H139" s="564">
        <f t="shared" si="19"/>
        <v>1</v>
      </c>
    </row>
    <row r="140" spans="1:8" ht="15.75" thickBot="1">
      <c r="A140" s="1987"/>
      <c r="B140" s="1994" t="s">
        <v>252</v>
      </c>
      <c r="C140" s="2029"/>
      <c r="D140" s="675"/>
      <c r="E140" s="597">
        <v>0</v>
      </c>
      <c r="F140" s="597">
        <v>0</v>
      </c>
      <c r="G140" s="597">
        <v>0</v>
      </c>
      <c r="H140" s="598"/>
    </row>
    <row r="141" spans="1:8" ht="15.75" thickBot="1">
      <c r="A141" s="735">
        <v>700</v>
      </c>
      <c r="B141" s="736"/>
      <c r="C141" s="737" t="s">
        <v>79</v>
      </c>
      <c r="D141" s="738"/>
      <c r="E141" s="552">
        <f t="shared" ref="E141:G141" si="29">SUM(E142)</f>
        <v>10904200</v>
      </c>
      <c r="F141" s="552">
        <f t="shared" si="29"/>
        <v>3629189</v>
      </c>
      <c r="G141" s="552">
        <f t="shared" si="29"/>
        <v>2574194</v>
      </c>
      <c r="H141" s="553">
        <f t="shared" si="19"/>
        <v>0.70930282220077268</v>
      </c>
    </row>
    <row r="142" spans="1:8" ht="15.75" thickBot="1">
      <c r="A142" s="2047"/>
      <c r="B142" s="684">
        <v>70005</v>
      </c>
      <c r="C142" s="606" t="s">
        <v>81</v>
      </c>
      <c r="D142" s="584"/>
      <c r="E142" s="630">
        <f>SUM(E143,E151)</f>
        <v>10904200</v>
      </c>
      <c r="F142" s="630">
        <f t="shared" ref="F142:G142" si="30">SUM(F143,F151)</f>
        <v>3629189</v>
      </c>
      <c r="G142" s="630">
        <f t="shared" si="30"/>
        <v>2574194</v>
      </c>
      <c r="H142" s="631">
        <f t="shared" si="19"/>
        <v>0.70930282220077268</v>
      </c>
    </row>
    <row r="143" spans="1:8">
      <c r="A143" s="2048"/>
      <c r="B143" s="1994" t="s">
        <v>247</v>
      </c>
      <c r="C143" s="2019"/>
      <c r="D143" s="742"/>
      <c r="E143" s="743">
        <f>SUM(E144:E150)</f>
        <v>327000</v>
      </c>
      <c r="F143" s="743">
        <f t="shared" ref="F143:G143" si="31">SUM(F144:F150)</f>
        <v>327000</v>
      </c>
      <c r="G143" s="743">
        <f t="shared" si="31"/>
        <v>350934</v>
      </c>
      <c r="H143" s="744">
        <f t="shared" si="19"/>
        <v>1.0731926605504587</v>
      </c>
    </row>
    <row r="144" spans="1:8" ht="21" customHeight="1">
      <c r="A144" s="2048"/>
      <c r="B144" s="2049"/>
      <c r="C144" s="591" t="s">
        <v>333</v>
      </c>
      <c r="D144" s="706" t="s">
        <v>334</v>
      </c>
      <c r="E144" s="624">
        <v>300000</v>
      </c>
      <c r="F144" s="624">
        <v>300000</v>
      </c>
      <c r="G144" s="624">
        <v>290494</v>
      </c>
      <c r="H144" s="637">
        <f t="shared" si="19"/>
        <v>0.96831333333333336</v>
      </c>
    </row>
    <row r="145" spans="1:8" ht="19.5" customHeight="1">
      <c r="A145" s="2048"/>
      <c r="B145" s="2048"/>
      <c r="C145" s="745" t="s">
        <v>335</v>
      </c>
      <c r="D145" s="620" t="s">
        <v>336</v>
      </c>
      <c r="E145" s="565">
        <v>21000</v>
      </c>
      <c r="F145" s="565">
        <v>21000</v>
      </c>
      <c r="G145" s="565">
        <v>20916</v>
      </c>
      <c r="H145" s="564">
        <f t="shared" si="19"/>
        <v>0.996</v>
      </c>
    </row>
    <row r="146" spans="1:8" ht="27" customHeight="1">
      <c r="A146" s="2048"/>
      <c r="B146" s="2048"/>
      <c r="C146" s="745" t="s">
        <v>337</v>
      </c>
      <c r="D146" s="620" t="s">
        <v>270</v>
      </c>
      <c r="E146" s="565">
        <v>0</v>
      </c>
      <c r="F146" s="565">
        <v>0</v>
      </c>
      <c r="G146" s="565">
        <v>8870</v>
      </c>
      <c r="H146" s="564"/>
    </row>
    <row r="147" spans="1:8" ht="21" customHeight="1">
      <c r="A147" s="2048"/>
      <c r="B147" s="2048"/>
      <c r="C147" s="591" t="s">
        <v>338</v>
      </c>
      <c r="D147" s="706" t="s">
        <v>249</v>
      </c>
      <c r="E147" s="565">
        <v>6000</v>
      </c>
      <c r="F147" s="565">
        <v>6000</v>
      </c>
      <c r="G147" s="565">
        <v>5774</v>
      </c>
      <c r="H147" s="564">
        <f t="shared" ref="H147:H215" si="32">G147/F147</f>
        <v>0.96233333333333337</v>
      </c>
    </row>
    <row r="148" spans="1:8" ht="30" customHeight="1">
      <c r="A148" s="2048"/>
      <c r="B148" s="2048"/>
      <c r="C148" s="619" t="s">
        <v>339</v>
      </c>
      <c r="D148" s="620" t="s">
        <v>256</v>
      </c>
      <c r="E148" s="565">
        <v>0</v>
      </c>
      <c r="F148" s="565">
        <v>0</v>
      </c>
      <c r="G148" s="565">
        <v>14802</v>
      </c>
      <c r="H148" s="564" t="e">
        <f t="shared" si="32"/>
        <v>#DIV/0!</v>
      </c>
    </row>
    <row r="149" spans="1:8" ht="21" customHeight="1">
      <c r="A149" s="2048"/>
      <c r="B149" s="2048"/>
      <c r="C149" s="619" t="s">
        <v>340</v>
      </c>
      <c r="D149" s="620" t="s">
        <v>251</v>
      </c>
      <c r="E149" s="565">
        <v>0</v>
      </c>
      <c r="F149" s="565">
        <v>0</v>
      </c>
      <c r="G149" s="565">
        <v>7163</v>
      </c>
      <c r="H149" s="564" t="e">
        <f t="shared" si="32"/>
        <v>#DIV/0!</v>
      </c>
    </row>
    <row r="150" spans="1:8" ht="41.25" customHeight="1">
      <c r="A150" s="2048"/>
      <c r="B150" s="2050"/>
      <c r="C150" s="619" t="s">
        <v>341</v>
      </c>
      <c r="D150" s="620" t="s">
        <v>174</v>
      </c>
      <c r="E150" s="565">
        <v>0</v>
      </c>
      <c r="F150" s="565">
        <v>0</v>
      </c>
      <c r="G150" s="565">
        <v>2915</v>
      </c>
      <c r="H150" s="564" t="e">
        <f t="shared" si="32"/>
        <v>#DIV/0!</v>
      </c>
    </row>
    <row r="151" spans="1:8">
      <c r="A151" s="2048"/>
      <c r="B151" s="2051" t="s">
        <v>257</v>
      </c>
      <c r="C151" s="2029"/>
      <c r="D151" s="742"/>
      <c r="E151" s="597">
        <f>SUM(E152:E155)</f>
        <v>10577200</v>
      </c>
      <c r="F151" s="597">
        <f t="shared" ref="F151:G151" si="33">SUM(F152:F155)</f>
        <v>3302189</v>
      </c>
      <c r="G151" s="597">
        <f t="shared" si="33"/>
        <v>2223260</v>
      </c>
      <c r="H151" s="598">
        <f t="shared" si="32"/>
        <v>0.67326855004362263</v>
      </c>
    </row>
    <row r="152" spans="1:8" s="747" customFormat="1" ht="30.75" customHeight="1">
      <c r="A152" s="2048"/>
      <c r="B152" s="1988"/>
      <c r="C152" s="611" t="s">
        <v>342</v>
      </c>
      <c r="D152" s="746" t="s">
        <v>343</v>
      </c>
      <c r="E152" s="565">
        <v>1700</v>
      </c>
      <c r="F152" s="565">
        <v>1700</v>
      </c>
      <c r="G152" s="565">
        <v>1699</v>
      </c>
      <c r="H152" s="564">
        <f t="shared" si="32"/>
        <v>0.99941176470588233</v>
      </c>
    </row>
    <row r="153" spans="1:8" ht="16.5" customHeight="1">
      <c r="A153" s="2048"/>
      <c r="B153" s="1989"/>
      <c r="C153" s="748" t="s">
        <v>344</v>
      </c>
      <c r="D153" s="749" t="s">
        <v>345</v>
      </c>
      <c r="E153" s="624">
        <v>10575500</v>
      </c>
      <c r="F153" s="624">
        <v>3300489</v>
      </c>
      <c r="G153" s="624">
        <v>2151473</v>
      </c>
      <c r="H153" s="637">
        <f t="shared" si="32"/>
        <v>0.65186492062236834</v>
      </c>
    </row>
    <row r="154" spans="1:8" ht="25.5" customHeight="1">
      <c r="A154" s="750"/>
      <c r="B154" s="751"/>
      <c r="C154" s="752" t="s">
        <v>346</v>
      </c>
      <c r="D154" s="753" t="s">
        <v>347</v>
      </c>
      <c r="E154" s="624">
        <v>0</v>
      </c>
      <c r="F154" s="624">
        <v>0</v>
      </c>
      <c r="G154" s="624">
        <v>42911</v>
      </c>
      <c r="H154" s="637"/>
    </row>
    <row r="155" spans="1:8" ht="27" customHeight="1" thickBot="1">
      <c r="A155" s="750"/>
      <c r="B155" s="751"/>
      <c r="C155" s="752" t="s">
        <v>348</v>
      </c>
      <c r="D155" s="753" t="s">
        <v>349</v>
      </c>
      <c r="E155" s="624">
        <v>0</v>
      </c>
      <c r="F155" s="624">
        <v>0</v>
      </c>
      <c r="G155" s="624">
        <v>27177</v>
      </c>
      <c r="H155" s="637"/>
    </row>
    <row r="156" spans="1:8" ht="15.75" thickBot="1">
      <c r="A156" s="735">
        <v>710</v>
      </c>
      <c r="B156" s="754"/>
      <c r="C156" s="737" t="s">
        <v>350</v>
      </c>
      <c r="D156" s="755"/>
      <c r="E156" s="552">
        <f>SUM(E157,E165,E169,E179)</f>
        <v>624867</v>
      </c>
      <c r="F156" s="552">
        <f>SUM(F157,F165,F169,F179)</f>
        <v>954057</v>
      </c>
      <c r="G156" s="552">
        <f>SUM(G157,G165,G169,G179)</f>
        <v>923712</v>
      </c>
      <c r="H156" s="553">
        <f t="shared" si="32"/>
        <v>0.96819372427433581</v>
      </c>
    </row>
    <row r="157" spans="1:8" ht="15.75" thickBot="1">
      <c r="A157" s="1985"/>
      <c r="B157" s="710">
        <v>71003</v>
      </c>
      <c r="C157" s="606" t="s">
        <v>351</v>
      </c>
      <c r="D157" s="584"/>
      <c r="E157" s="557">
        <f>SUM(E158,E163)</f>
        <v>40000</v>
      </c>
      <c r="F157" s="557">
        <f>SUM(F158,F163)</f>
        <v>40000</v>
      </c>
      <c r="G157" s="557">
        <f>SUM(G158,G163)</f>
        <v>32217</v>
      </c>
      <c r="H157" s="558">
        <f t="shared" si="32"/>
        <v>0.80542499999999995</v>
      </c>
    </row>
    <row r="158" spans="1:8">
      <c r="A158" s="1986"/>
      <c r="B158" s="1993" t="s">
        <v>247</v>
      </c>
      <c r="C158" s="2019"/>
      <c r="D158" s="742"/>
      <c r="E158" s="560">
        <f>SUM(E159:E162)</f>
        <v>40000</v>
      </c>
      <c r="F158" s="560">
        <f t="shared" ref="F158:G158" si="34">SUM(F159:F162)</f>
        <v>40000</v>
      </c>
      <c r="G158" s="560">
        <f t="shared" si="34"/>
        <v>32119</v>
      </c>
      <c r="H158" s="561">
        <f t="shared" si="32"/>
        <v>0.80297499999999999</v>
      </c>
    </row>
    <row r="159" spans="1:8" ht="17.25" customHeight="1">
      <c r="A159" s="1986"/>
      <c r="B159" s="1995"/>
      <c r="C159" s="2040" t="s">
        <v>352</v>
      </c>
      <c r="D159" s="620" t="s">
        <v>249</v>
      </c>
      <c r="E159" s="565">
        <v>8400</v>
      </c>
      <c r="F159" s="565">
        <v>8400</v>
      </c>
      <c r="G159" s="565">
        <v>2928</v>
      </c>
      <c r="H159" s="564">
        <f t="shared" si="32"/>
        <v>0.34857142857142859</v>
      </c>
    </row>
    <row r="160" spans="1:8" ht="15" customHeight="1">
      <c r="A160" s="1986"/>
      <c r="B160" s="2039"/>
      <c r="C160" s="2041"/>
      <c r="D160" s="622" t="s">
        <v>250</v>
      </c>
      <c r="E160" s="565">
        <v>31600</v>
      </c>
      <c r="F160" s="565">
        <v>31600</v>
      </c>
      <c r="G160" s="565">
        <v>26807</v>
      </c>
      <c r="H160" s="564">
        <f t="shared" si="32"/>
        <v>0.84832278481012657</v>
      </c>
    </row>
    <row r="161" spans="1:8" ht="15" customHeight="1">
      <c r="A161" s="1986"/>
      <c r="B161" s="2039"/>
      <c r="C161" s="2041"/>
      <c r="D161" s="620" t="s">
        <v>251</v>
      </c>
      <c r="E161" s="572">
        <v>0</v>
      </c>
      <c r="F161" s="572">
        <v>0</v>
      </c>
      <c r="G161" s="572">
        <v>1516</v>
      </c>
      <c r="H161" s="573"/>
    </row>
    <row r="162" spans="1:8" ht="15" customHeight="1">
      <c r="A162" s="1986"/>
      <c r="B162" s="1996"/>
      <c r="C162" s="2042"/>
      <c r="D162" s="706" t="s">
        <v>174</v>
      </c>
      <c r="E162" s="565">
        <v>0</v>
      </c>
      <c r="F162" s="565">
        <v>0</v>
      </c>
      <c r="G162" s="565">
        <v>868</v>
      </c>
      <c r="H162" s="564"/>
    </row>
    <row r="163" spans="1:8">
      <c r="A163" s="1986"/>
      <c r="B163" s="2043" t="s">
        <v>257</v>
      </c>
      <c r="C163" s="2044"/>
      <c r="D163" s="607"/>
      <c r="E163" s="575">
        <f>E164</f>
        <v>0</v>
      </c>
      <c r="F163" s="575">
        <f t="shared" ref="F163:G163" si="35">F164</f>
        <v>0</v>
      </c>
      <c r="G163" s="575">
        <f t="shared" si="35"/>
        <v>98</v>
      </c>
      <c r="H163" s="576"/>
    </row>
    <row r="164" spans="1:8" s="747" customFormat="1" ht="26.25" thickBot="1">
      <c r="A164" s="1986"/>
      <c r="B164" s="756"/>
      <c r="C164" s="757" t="s">
        <v>352</v>
      </c>
      <c r="D164" s="758" t="s">
        <v>258</v>
      </c>
      <c r="E164" s="759">
        <v>0</v>
      </c>
      <c r="F164" s="759">
        <v>0</v>
      </c>
      <c r="G164" s="759">
        <v>98</v>
      </c>
      <c r="H164" s="760"/>
    </row>
    <row r="165" spans="1:8" ht="15.75" thickBot="1">
      <c r="A165" s="1986"/>
      <c r="B165" s="684">
        <v>71005</v>
      </c>
      <c r="C165" s="606" t="s">
        <v>353</v>
      </c>
      <c r="D165" s="584"/>
      <c r="E165" s="557">
        <f t="shared" ref="E165:G165" si="36">SUM(E168,E166)</f>
        <v>737</v>
      </c>
      <c r="F165" s="557">
        <f t="shared" si="36"/>
        <v>737</v>
      </c>
      <c r="G165" s="557">
        <f t="shared" si="36"/>
        <v>435</v>
      </c>
      <c r="H165" s="558">
        <f t="shared" si="32"/>
        <v>0.59023066485753051</v>
      </c>
    </row>
    <row r="166" spans="1:8">
      <c r="A166" s="1986"/>
      <c r="B166" s="1994" t="s">
        <v>247</v>
      </c>
      <c r="C166" s="2019"/>
      <c r="D166" s="742"/>
      <c r="E166" s="560">
        <f t="shared" ref="E166:G166" si="37">SUM(E167)</f>
        <v>737</v>
      </c>
      <c r="F166" s="560">
        <f t="shared" si="37"/>
        <v>737</v>
      </c>
      <c r="G166" s="560">
        <f t="shared" si="37"/>
        <v>435</v>
      </c>
      <c r="H166" s="561">
        <f t="shared" si="32"/>
        <v>0.59023066485753051</v>
      </c>
    </row>
    <row r="167" spans="1:8" ht="38.25">
      <c r="A167" s="1986"/>
      <c r="B167" s="761"/>
      <c r="C167" s="619" t="s">
        <v>263</v>
      </c>
      <c r="D167" s="762">
        <v>2360</v>
      </c>
      <c r="E167" s="565">
        <v>737</v>
      </c>
      <c r="F167" s="565">
        <v>737</v>
      </c>
      <c r="G167" s="565">
        <v>435</v>
      </c>
      <c r="H167" s="564">
        <f t="shared" si="32"/>
        <v>0.59023066485753051</v>
      </c>
    </row>
    <row r="168" spans="1:8" ht="15.75" thickBot="1">
      <c r="A168" s="1986"/>
      <c r="B168" s="1991" t="s">
        <v>252</v>
      </c>
      <c r="C168" s="1992"/>
      <c r="D168" s="639"/>
      <c r="E168" s="569">
        <v>0</v>
      </c>
      <c r="F168" s="569">
        <v>0</v>
      </c>
      <c r="G168" s="569">
        <v>0</v>
      </c>
      <c r="H168" s="570"/>
    </row>
    <row r="169" spans="1:8" ht="15.75" thickBot="1">
      <c r="A169" s="1986"/>
      <c r="B169" s="763">
        <v>71012</v>
      </c>
      <c r="C169" s="606" t="s">
        <v>354</v>
      </c>
      <c r="D169" s="584"/>
      <c r="E169" s="557">
        <f t="shared" ref="E169:G169" si="38">SUM(E170,E178)</f>
        <v>484130</v>
      </c>
      <c r="F169" s="557">
        <f t="shared" si="38"/>
        <v>913320</v>
      </c>
      <c r="G169" s="557">
        <f t="shared" si="38"/>
        <v>891060</v>
      </c>
      <c r="H169" s="558">
        <f t="shared" si="32"/>
        <v>0.97562738142162664</v>
      </c>
    </row>
    <row r="170" spans="1:8">
      <c r="A170" s="1986"/>
      <c r="B170" s="1994" t="s">
        <v>247</v>
      </c>
      <c r="C170" s="2019"/>
      <c r="D170" s="742"/>
      <c r="E170" s="560">
        <f>SUM(E171:E177)</f>
        <v>484130</v>
      </c>
      <c r="F170" s="560">
        <f t="shared" ref="F170:G170" si="39">SUM(F171:F177)</f>
        <v>913320</v>
      </c>
      <c r="G170" s="560">
        <f t="shared" si="39"/>
        <v>891060</v>
      </c>
      <c r="H170" s="561">
        <f t="shared" si="32"/>
        <v>0.97562738142162664</v>
      </c>
    </row>
    <row r="171" spans="1:8" ht="25.5" customHeight="1">
      <c r="A171" s="1986"/>
      <c r="B171" s="1995"/>
      <c r="C171" s="764" t="s">
        <v>355</v>
      </c>
      <c r="D171" s="622" t="s">
        <v>151</v>
      </c>
      <c r="E171" s="565">
        <v>9000</v>
      </c>
      <c r="F171" s="565">
        <v>9000</v>
      </c>
      <c r="G171" s="565">
        <v>7561</v>
      </c>
      <c r="H171" s="564">
        <f t="shared" si="32"/>
        <v>0.84011111111111114</v>
      </c>
    </row>
    <row r="172" spans="1:8" ht="68.25" customHeight="1">
      <c r="A172" s="1986"/>
      <c r="B172" s="2039"/>
      <c r="C172" s="764" t="s">
        <v>356</v>
      </c>
      <c r="D172" s="620" t="s">
        <v>357</v>
      </c>
      <c r="E172" s="565">
        <v>0</v>
      </c>
      <c r="F172" s="565">
        <v>5000</v>
      </c>
      <c r="G172" s="565">
        <v>318</v>
      </c>
      <c r="H172" s="564">
        <f t="shared" si="32"/>
        <v>6.3600000000000004E-2</v>
      </c>
    </row>
    <row r="173" spans="1:8" ht="18.75" customHeight="1">
      <c r="A173" s="1986"/>
      <c r="B173" s="2039"/>
      <c r="C173" s="2045" t="s">
        <v>355</v>
      </c>
      <c r="D173" s="620" t="s">
        <v>191</v>
      </c>
      <c r="E173" s="565">
        <v>0</v>
      </c>
      <c r="F173" s="565">
        <v>0</v>
      </c>
      <c r="G173" s="565">
        <v>66821</v>
      </c>
      <c r="H173" s="564"/>
    </row>
    <row r="174" spans="1:8" ht="18.75" customHeight="1">
      <c r="A174" s="1986"/>
      <c r="B174" s="2039"/>
      <c r="C174" s="2046"/>
      <c r="D174" s="620" t="s">
        <v>174</v>
      </c>
      <c r="E174" s="565">
        <v>130</v>
      </c>
      <c r="F174" s="565">
        <v>130</v>
      </c>
      <c r="G174" s="565">
        <v>108</v>
      </c>
      <c r="H174" s="564">
        <f t="shared" si="32"/>
        <v>0.83076923076923082</v>
      </c>
    </row>
    <row r="175" spans="1:8" ht="53.25" customHeight="1">
      <c r="A175" s="1986"/>
      <c r="B175" s="2039"/>
      <c r="C175" s="713" t="s">
        <v>358</v>
      </c>
      <c r="D175" s="620" t="s">
        <v>359</v>
      </c>
      <c r="E175" s="565">
        <v>0</v>
      </c>
      <c r="F175" s="565">
        <v>324190</v>
      </c>
      <c r="G175" s="565">
        <v>324190</v>
      </c>
      <c r="H175" s="564">
        <f t="shared" si="32"/>
        <v>1</v>
      </c>
    </row>
    <row r="176" spans="1:8" ht="42.75" customHeight="1">
      <c r="A176" s="1986"/>
      <c r="B176" s="2039"/>
      <c r="C176" s="619" t="s">
        <v>262</v>
      </c>
      <c r="D176" s="620" t="s">
        <v>360</v>
      </c>
      <c r="E176" s="565">
        <v>475000</v>
      </c>
      <c r="F176" s="565">
        <v>475000</v>
      </c>
      <c r="G176" s="565">
        <v>474991</v>
      </c>
      <c r="H176" s="564">
        <f t="shared" si="32"/>
        <v>0.99998105263157899</v>
      </c>
    </row>
    <row r="177" spans="1:8" ht="67.5" customHeight="1">
      <c r="A177" s="1986"/>
      <c r="B177" s="1996"/>
      <c r="C177" s="623" t="s">
        <v>361</v>
      </c>
      <c r="D177" s="706" t="s">
        <v>362</v>
      </c>
      <c r="E177" s="565">
        <v>0</v>
      </c>
      <c r="F177" s="565">
        <v>100000</v>
      </c>
      <c r="G177" s="565">
        <v>17071</v>
      </c>
      <c r="H177" s="564">
        <f t="shared" si="32"/>
        <v>0.17071</v>
      </c>
    </row>
    <row r="178" spans="1:8" ht="16.5" customHeight="1" thickBot="1">
      <c r="A178" s="1986"/>
      <c r="B178" s="2037" t="s">
        <v>252</v>
      </c>
      <c r="C178" s="2038"/>
      <c r="D178" s="765"/>
      <c r="E178" s="575">
        <v>0</v>
      </c>
      <c r="F178" s="575">
        <v>0</v>
      </c>
      <c r="G178" s="575">
        <v>0</v>
      </c>
      <c r="H178" s="576"/>
    </row>
    <row r="179" spans="1:8" ht="15.75" thickBot="1">
      <c r="A179" s="1986"/>
      <c r="B179" s="710">
        <v>71095</v>
      </c>
      <c r="C179" s="555" t="s">
        <v>11</v>
      </c>
      <c r="D179" s="556"/>
      <c r="E179" s="630">
        <f t="shared" ref="E179:G179" si="40">SUM(E180,E182)</f>
        <v>100000</v>
      </c>
      <c r="F179" s="630">
        <f t="shared" si="40"/>
        <v>0</v>
      </c>
      <c r="G179" s="630">
        <f t="shared" si="40"/>
        <v>0</v>
      </c>
      <c r="H179" s="631"/>
    </row>
    <row r="180" spans="1:8">
      <c r="A180" s="1986"/>
      <c r="B180" s="1993" t="s">
        <v>247</v>
      </c>
      <c r="C180" s="2019"/>
      <c r="D180" s="742"/>
      <c r="E180" s="560">
        <f t="shared" ref="E180:G180" si="41">SUM(E181)</f>
        <v>100000</v>
      </c>
      <c r="F180" s="560">
        <f t="shared" si="41"/>
        <v>0</v>
      </c>
      <c r="G180" s="560">
        <f t="shared" si="41"/>
        <v>0</v>
      </c>
      <c r="H180" s="561"/>
    </row>
    <row r="181" spans="1:8" ht="38.25">
      <c r="A181" s="1986"/>
      <c r="B181" s="766"/>
      <c r="C181" s="748" t="s">
        <v>262</v>
      </c>
      <c r="D181" s="767">
        <v>2210</v>
      </c>
      <c r="E181" s="565">
        <v>100000</v>
      </c>
      <c r="F181" s="565">
        <v>0</v>
      </c>
      <c r="G181" s="565">
        <v>0</v>
      </c>
      <c r="H181" s="564"/>
    </row>
    <row r="182" spans="1:8" ht="15.75" thickBot="1">
      <c r="A182" s="1986"/>
      <c r="B182" s="1983" t="s">
        <v>252</v>
      </c>
      <c r="C182" s="2029"/>
      <c r="D182" s="768"/>
      <c r="E182" s="769">
        <v>0</v>
      </c>
      <c r="F182" s="769">
        <v>0</v>
      </c>
      <c r="G182" s="769">
        <v>0</v>
      </c>
      <c r="H182" s="770"/>
    </row>
    <row r="183" spans="1:8" s="774" customFormat="1" ht="17.25" customHeight="1" thickBot="1">
      <c r="A183" s="681">
        <v>720</v>
      </c>
      <c r="B183" s="771"/>
      <c r="C183" s="772" t="s">
        <v>363</v>
      </c>
      <c r="D183" s="773"/>
      <c r="E183" s="661">
        <f t="shared" ref="E183:G183" si="42">SUM(E184)</f>
        <v>5000000</v>
      </c>
      <c r="F183" s="661">
        <f t="shared" si="42"/>
        <v>5000000</v>
      </c>
      <c r="G183" s="661">
        <f t="shared" si="42"/>
        <v>2393077</v>
      </c>
      <c r="H183" s="662">
        <f t="shared" si="32"/>
        <v>0.47861540000000002</v>
      </c>
    </row>
    <row r="184" spans="1:8" ht="15.75" thickBot="1">
      <c r="A184" s="1985"/>
      <c r="B184" s="775">
        <v>72095</v>
      </c>
      <c r="C184" s="606" t="s">
        <v>11</v>
      </c>
      <c r="D184" s="584"/>
      <c r="E184" s="557">
        <f>SUM(E185,E190)</f>
        <v>5000000</v>
      </c>
      <c r="F184" s="557">
        <f t="shared" ref="F184:G184" si="43">SUM(F185,F190)</f>
        <v>5000000</v>
      </c>
      <c r="G184" s="557">
        <f t="shared" si="43"/>
        <v>2393077</v>
      </c>
      <c r="H184" s="558">
        <f t="shared" si="32"/>
        <v>0.47861540000000002</v>
      </c>
    </row>
    <row r="185" spans="1:8">
      <c r="A185" s="1986"/>
      <c r="B185" s="1981" t="s">
        <v>247</v>
      </c>
      <c r="C185" s="1999"/>
      <c r="D185" s="585"/>
      <c r="E185" s="586">
        <f>SUM(E186:E189)</f>
        <v>5000000</v>
      </c>
      <c r="F185" s="586">
        <f t="shared" ref="F185:G185" si="44">SUM(F186:F189)</f>
        <v>5000000</v>
      </c>
      <c r="G185" s="586">
        <f t="shared" si="44"/>
        <v>2393027</v>
      </c>
      <c r="H185" s="587">
        <f t="shared" si="32"/>
        <v>0.47860540000000001</v>
      </c>
    </row>
    <row r="186" spans="1:8">
      <c r="A186" s="1986"/>
      <c r="B186" s="1988"/>
      <c r="C186" s="686" t="s">
        <v>364</v>
      </c>
      <c r="D186" s="776" t="s">
        <v>256</v>
      </c>
      <c r="E186" s="589">
        <v>0</v>
      </c>
      <c r="F186" s="589">
        <v>0</v>
      </c>
      <c r="G186" s="589">
        <v>141093</v>
      </c>
      <c r="H186" s="590"/>
    </row>
    <row r="187" spans="1:8" ht="42.75" customHeight="1">
      <c r="A187" s="1986"/>
      <c r="B187" s="1989"/>
      <c r="C187" s="686" t="s">
        <v>365</v>
      </c>
      <c r="D187" s="777" t="s">
        <v>251</v>
      </c>
      <c r="E187" s="589">
        <v>0</v>
      </c>
      <c r="F187" s="589">
        <v>0</v>
      </c>
      <c r="G187" s="589">
        <v>595</v>
      </c>
      <c r="H187" s="590"/>
    </row>
    <row r="188" spans="1:8">
      <c r="A188" s="1986"/>
      <c r="B188" s="1989"/>
      <c r="C188" s="686" t="s">
        <v>275</v>
      </c>
      <c r="D188" s="776" t="s">
        <v>191</v>
      </c>
      <c r="E188" s="589">
        <v>0</v>
      </c>
      <c r="F188" s="589">
        <v>0</v>
      </c>
      <c r="G188" s="589">
        <v>14850</v>
      </c>
      <c r="H188" s="590"/>
    </row>
    <row r="189" spans="1:8" ht="42" customHeight="1">
      <c r="A189" s="1986"/>
      <c r="B189" s="1990"/>
      <c r="C189" s="778" t="s">
        <v>366</v>
      </c>
      <c r="D189" s="779" t="s">
        <v>174</v>
      </c>
      <c r="E189" s="572">
        <v>5000000</v>
      </c>
      <c r="F189" s="572">
        <v>5000000</v>
      </c>
      <c r="G189" s="572">
        <v>2236489</v>
      </c>
      <c r="H189" s="573">
        <f t="shared" si="32"/>
        <v>0.44729780000000002</v>
      </c>
    </row>
    <row r="190" spans="1:8">
      <c r="A190" s="1986"/>
      <c r="B190" s="1983" t="s">
        <v>257</v>
      </c>
      <c r="C190" s="2029"/>
      <c r="D190" s="780"/>
      <c r="E190" s="597">
        <f>E191</f>
        <v>0</v>
      </c>
      <c r="F190" s="597">
        <f t="shared" ref="F190:G190" si="45">F191</f>
        <v>0</v>
      </c>
      <c r="G190" s="597">
        <f t="shared" si="45"/>
        <v>50</v>
      </c>
      <c r="H190" s="598"/>
    </row>
    <row r="191" spans="1:8" s="747" customFormat="1" ht="15.75" thickBot="1">
      <c r="A191" s="781"/>
      <c r="B191" s="756"/>
      <c r="C191" s="782" t="s">
        <v>367</v>
      </c>
      <c r="D191" s="746" t="s">
        <v>368</v>
      </c>
      <c r="E191" s="783">
        <v>0</v>
      </c>
      <c r="F191" s="783">
        <v>0</v>
      </c>
      <c r="G191" s="783">
        <v>50</v>
      </c>
      <c r="H191" s="784"/>
    </row>
    <row r="192" spans="1:8" ht="15.75" thickBot="1">
      <c r="A192" s="735">
        <v>730</v>
      </c>
      <c r="B192" s="785"/>
      <c r="C192" s="786" t="s">
        <v>369</v>
      </c>
      <c r="D192" s="755"/>
      <c r="E192" s="787">
        <f t="shared" ref="E192:G192" si="46">SUM(E193)</f>
        <v>184440</v>
      </c>
      <c r="F192" s="787">
        <f t="shared" si="46"/>
        <v>184455</v>
      </c>
      <c r="G192" s="787">
        <f t="shared" si="46"/>
        <v>200648</v>
      </c>
      <c r="H192" s="788">
        <f t="shared" si="32"/>
        <v>1.0877883494619285</v>
      </c>
    </row>
    <row r="193" spans="1:8" ht="15.75" thickBot="1">
      <c r="A193" s="2030"/>
      <c r="B193" s="684">
        <v>73095</v>
      </c>
      <c r="C193" s="789" t="s">
        <v>11</v>
      </c>
      <c r="D193" s="584"/>
      <c r="E193" s="557">
        <f t="shared" ref="E193:G193" si="47">SUM(E194,E198)</f>
        <v>184440</v>
      </c>
      <c r="F193" s="557">
        <f t="shared" si="47"/>
        <v>184455</v>
      </c>
      <c r="G193" s="557">
        <f t="shared" si="47"/>
        <v>200648</v>
      </c>
      <c r="H193" s="558">
        <f t="shared" si="32"/>
        <v>1.0877883494619285</v>
      </c>
    </row>
    <row r="194" spans="1:8">
      <c r="A194" s="2030"/>
      <c r="B194" s="2031" t="s">
        <v>247</v>
      </c>
      <c r="C194" s="2025"/>
      <c r="D194" s="607"/>
      <c r="E194" s="560">
        <f>SUM(E195:E197)</f>
        <v>184440</v>
      </c>
      <c r="F194" s="560">
        <f>SUM(F195:F197)</f>
        <v>184455</v>
      </c>
      <c r="G194" s="560">
        <f>SUM(G195:G197)</f>
        <v>200648</v>
      </c>
      <c r="H194" s="561">
        <f t="shared" si="32"/>
        <v>1.0877883494619285</v>
      </c>
    </row>
    <row r="195" spans="1:8" ht="51">
      <c r="A195" s="2030"/>
      <c r="B195" s="1988"/>
      <c r="C195" s="705" t="s">
        <v>370</v>
      </c>
      <c r="D195" s="776" t="s">
        <v>371</v>
      </c>
      <c r="E195" s="563">
        <v>0</v>
      </c>
      <c r="F195" s="563">
        <v>15</v>
      </c>
      <c r="G195" s="563">
        <v>15</v>
      </c>
      <c r="H195" s="593">
        <f t="shared" si="32"/>
        <v>1</v>
      </c>
    </row>
    <row r="196" spans="1:8" ht="64.5" customHeight="1">
      <c r="A196" s="2030"/>
      <c r="B196" s="1989"/>
      <c r="C196" s="686" t="s">
        <v>372</v>
      </c>
      <c r="D196" s="790" t="s">
        <v>191</v>
      </c>
      <c r="E196" s="563">
        <v>0</v>
      </c>
      <c r="F196" s="563">
        <v>0</v>
      </c>
      <c r="G196" s="563">
        <v>38948</v>
      </c>
      <c r="H196" s="593"/>
    </row>
    <row r="197" spans="1:8" ht="51" customHeight="1">
      <c r="A197" s="2030"/>
      <c r="B197" s="1990"/>
      <c r="C197" s="791" t="s">
        <v>373</v>
      </c>
      <c r="D197" s="719">
        <v>2058</v>
      </c>
      <c r="E197" s="565">
        <v>184440</v>
      </c>
      <c r="F197" s="565">
        <v>184440</v>
      </c>
      <c r="G197" s="565">
        <v>161685</v>
      </c>
      <c r="H197" s="564">
        <f t="shared" si="32"/>
        <v>0.87662654521795702</v>
      </c>
    </row>
    <row r="198" spans="1:8" ht="15.75" thickBot="1">
      <c r="A198" s="2030"/>
      <c r="B198" s="2032" t="s">
        <v>252</v>
      </c>
      <c r="C198" s="1992"/>
      <c r="D198" s="639"/>
      <c r="E198" s="575">
        <v>0</v>
      </c>
      <c r="F198" s="575">
        <v>0</v>
      </c>
      <c r="G198" s="575">
        <v>0</v>
      </c>
      <c r="H198" s="576"/>
    </row>
    <row r="199" spans="1:8" ht="15.75" thickBot="1">
      <c r="A199" s="735">
        <v>750</v>
      </c>
      <c r="B199" s="785"/>
      <c r="C199" s="786" t="s">
        <v>59</v>
      </c>
      <c r="D199" s="755"/>
      <c r="E199" s="552">
        <f>SUM(E200,E210,E225,E230,E252,E256,E205,E247)</f>
        <v>5314570</v>
      </c>
      <c r="F199" s="552">
        <f>SUM(F200,F210,F225,F230,F252,F256,F205,F247)</f>
        <v>8179843</v>
      </c>
      <c r="G199" s="552">
        <f>SUM(G200,G210,G225,G230,G252,G256,G205,G247)</f>
        <v>9561110</v>
      </c>
      <c r="H199" s="553">
        <f t="shared" si="32"/>
        <v>1.1688622874546615</v>
      </c>
    </row>
    <row r="200" spans="1:8" ht="15.75" thickBot="1">
      <c r="A200" s="2030"/>
      <c r="B200" s="684">
        <v>75011</v>
      </c>
      <c r="C200" s="789" t="s">
        <v>374</v>
      </c>
      <c r="D200" s="584"/>
      <c r="E200" s="557">
        <f>SUM(E201,E204)</f>
        <v>145290</v>
      </c>
      <c r="F200" s="557">
        <f>SUM(F201,F204)</f>
        <v>145290</v>
      </c>
      <c r="G200" s="557">
        <f>SUM(G201,G204)</f>
        <v>145246</v>
      </c>
      <c r="H200" s="558">
        <f t="shared" si="32"/>
        <v>0.9996971574093193</v>
      </c>
    </row>
    <row r="201" spans="1:8">
      <c r="A201" s="2030"/>
      <c r="B201" s="1994" t="s">
        <v>247</v>
      </c>
      <c r="C201" s="2019"/>
      <c r="D201" s="742"/>
      <c r="E201" s="560">
        <f>SUM(E202:E203)</f>
        <v>145290</v>
      </c>
      <c r="F201" s="560">
        <f>SUM(F202:F203)</f>
        <v>145290</v>
      </c>
      <c r="G201" s="560">
        <f>SUM(G202:G203)</f>
        <v>145246</v>
      </c>
      <c r="H201" s="561">
        <f t="shared" si="32"/>
        <v>0.9996971574093193</v>
      </c>
    </row>
    <row r="202" spans="1:8" ht="38.25">
      <c r="A202" s="2030"/>
      <c r="B202" s="2033"/>
      <c r="C202" s="791" t="s">
        <v>375</v>
      </c>
      <c r="D202" s="719">
        <v>2210</v>
      </c>
      <c r="E202" s="565">
        <v>145000</v>
      </c>
      <c r="F202" s="565">
        <v>145000</v>
      </c>
      <c r="G202" s="565">
        <v>145000</v>
      </c>
      <c r="H202" s="564">
        <f t="shared" si="32"/>
        <v>1</v>
      </c>
    </row>
    <row r="203" spans="1:8" ht="38.25">
      <c r="A203" s="2030"/>
      <c r="B203" s="2034"/>
      <c r="C203" s="748" t="s">
        <v>263</v>
      </c>
      <c r="D203" s="767">
        <v>2360</v>
      </c>
      <c r="E203" s="624">
        <v>290</v>
      </c>
      <c r="F203" s="624">
        <v>290</v>
      </c>
      <c r="G203" s="624">
        <v>246</v>
      </c>
      <c r="H203" s="637">
        <f t="shared" si="32"/>
        <v>0.84827586206896555</v>
      </c>
    </row>
    <row r="204" spans="1:8" ht="15.75" thickBot="1">
      <c r="A204" s="2030"/>
      <c r="B204" s="1991" t="s">
        <v>252</v>
      </c>
      <c r="C204" s="1992"/>
      <c r="D204" s="639"/>
      <c r="E204" s="569">
        <v>0</v>
      </c>
      <c r="F204" s="569">
        <v>0</v>
      </c>
      <c r="G204" s="569">
        <v>0</v>
      </c>
      <c r="H204" s="570"/>
    </row>
    <row r="205" spans="1:8" ht="15.75" thickBot="1">
      <c r="A205" s="792"/>
      <c r="B205" s="684">
        <v>75017</v>
      </c>
      <c r="C205" s="789" t="s">
        <v>376</v>
      </c>
      <c r="D205" s="584"/>
      <c r="E205" s="630">
        <f>E206+E209</f>
        <v>0</v>
      </c>
      <c r="F205" s="630">
        <f t="shared" ref="F205:G205" si="48">F206+F209</f>
        <v>0</v>
      </c>
      <c r="G205" s="630">
        <f t="shared" si="48"/>
        <v>10275</v>
      </c>
      <c r="H205" s="631"/>
    </row>
    <row r="206" spans="1:8">
      <c r="A206" s="792"/>
      <c r="B206" s="1994" t="s">
        <v>247</v>
      </c>
      <c r="C206" s="2019"/>
      <c r="D206" s="607"/>
      <c r="E206" s="575">
        <f>E207+E208</f>
        <v>0</v>
      </c>
      <c r="F206" s="575">
        <f t="shared" ref="F206:G206" si="49">F207+F208</f>
        <v>0</v>
      </c>
      <c r="G206" s="575">
        <f t="shared" si="49"/>
        <v>10275</v>
      </c>
      <c r="H206" s="576"/>
    </row>
    <row r="207" spans="1:8">
      <c r="A207" s="792"/>
      <c r="B207" s="2020"/>
      <c r="C207" s="2022" t="s">
        <v>377</v>
      </c>
      <c r="D207" s="709" t="s">
        <v>191</v>
      </c>
      <c r="E207" s="563">
        <v>0</v>
      </c>
      <c r="F207" s="563">
        <v>0</v>
      </c>
      <c r="G207" s="563">
        <v>10274</v>
      </c>
      <c r="H207" s="633"/>
    </row>
    <row r="208" spans="1:8">
      <c r="A208" s="792"/>
      <c r="B208" s="2021"/>
      <c r="C208" s="2023"/>
      <c r="D208" s="674" t="s">
        <v>174</v>
      </c>
      <c r="E208" s="563">
        <v>0</v>
      </c>
      <c r="F208" s="563">
        <v>0</v>
      </c>
      <c r="G208" s="563">
        <v>1</v>
      </c>
      <c r="H208" s="593"/>
    </row>
    <row r="209" spans="1:8" ht="16.5" customHeight="1" thickBot="1">
      <c r="A209" s="792"/>
      <c r="B209" s="1991" t="s">
        <v>252</v>
      </c>
      <c r="C209" s="2024"/>
      <c r="D209" s="639"/>
      <c r="E209" s="569">
        <v>0</v>
      </c>
      <c r="F209" s="569">
        <v>0</v>
      </c>
      <c r="G209" s="569">
        <v>0</v>
      </c>
      <c r="H209" s="570"/>
    </row>
    <row r="210" spans="1:8" ht="15.75" thickBot="1">
      <c r="A210" s="1986"/>
      <c r="B210" s="684">
        <v>75018</v>
      </c>
      <c r="C210" s="606" t="s">
        <v>378</v>
      </c>
      <c r="D210" s="584"/>
      <c r="E210" s="557">
        <f>SUM(E211,E223)</f>
        <v>320770</v>
      </c>
      <c r="F210" s="557">
        <f>SUM(F211,F223)</f>
        <v>356317</v>
      </c>
      <c r="G210" s="557">
        <f>SUM(G211,G223)</f>
        <v>427843</v>
      </c>
      <c r="H210" s="558">
        <f t="shared" si="32"/>
        <v>1.2007369842022693</v>
      </c>
    </row>
    <row r="211" spans="1:8">
      <c r="A211" s="1986"/>
      <c r="B211" s="1994" t="s">
        <v>247</v>
      </c>
      <c r="C211" s="2025"/>
      <c r="D211" s="607"/>
      <c r="E211" s="560">
        <f>SUM(E212:E222)</f>
        <v>320770</v>
      </c>
      <c r="F211" s="560">
        <f>SUM(F212:F222)</f>
        <v>356317</v>
      </c>
      <c r="G211" s="560">
        <f>SUM(G212:G222)</f>
        <v>409794</v>
      </c>
      <c r="H211" s="561">
        <f t="shared" si="32"/>
        <v>1.1500826511224556</v>
      </c>
    </row>
    <row r="212" spans="1:8">
      <c r="A212" s="1986"/>
      <c r="B212" s="1988"/>
      <c r="C212" s="2026" t="s">
        <v>377</v>
      </c>
      <c r="D212" s="709" t="s">
        <v>270</v>
      </c>
      <c r="E212" s="563">
        <v>0</v>
      </c>
      <c r="F212" s="563">
        <v>0</v>
      </c>
      <c r="G212" s="563">
        <v>2423</v>
      </c>
      <c r="H212" s="593"/>
    </row>
    <row r="213" spans="1:8" ht="21" customHeight="1">
      <c r="A213" s="1986"/>
      <c r="B213" s="1989"/>
      <c r="C213" s="2027"/>
      <c r="D213" s="709" t="s">
        <v>320</v>
      </c>
      <c r="E213" s="670">
        <v>6000</v>
      </c>
      <c r="F213" s="670">
        <v>6000</v>
      </c>
      <c r="G213" s="670">
        <v>29682</v>
      </c>
      <c r="H213" s="671">
        <f t="shared" si="32"/>
        <v>4.9470000000000001</v>
      </c>
    </row>
    <row r="214" spans="1:8" ht="22.5" customHeight="1">
      <c r="A214" s="1986"/>
      <c r="B214" s="1989"/>
      <c r="C214" s="2027"/>
      <c r="D214" s="620" t="s">
        <v>151</v>
      </c>
      <c r="E214" s="565">
        <v>13500</v>
      </c>
      <c r="F214" s="565">
        <v>13500</v>
      </c>
      <c r="G214" s="565">
        <v>2198</v>
      </c>
      <c r="H214" s="564">
        <f t="shared" si="32"/>
        <v>0.1628148148148148</v>
      </c>
    </row>
    <row r="215" spans="1:8" ht="21.75" customHeight="1">
      <c r="A215" s="1986"/>
      <c r="B215" s="1989"/>
      <c r="C215" s="2027"/>
      <c r="D215" s="620" t="s">
        <v>249</v>
      </c>
      <c r="E215" s="601">
        <f>95000+77400</f>
        <v>172400</v>
      </c>
      <c r="F215" s="601">
        <f>95000+77400</f>
        <v>172400</v>
      </c>
      <c r="G215" s="601">
        <v>55562</v>
      </c>
      <c r="H215" s="602">
        <f t="shared" si="32"/>
        <v>0.32228538283062647</v>
      </c>
    </row>
    <row r="216" spans="1:8" ht="20.25" customHeight="1">
      <c r="A216" s="1986"/>
      <c r="B216" s="1989"/>
      <c r="C216" s="2027"/>
      <c r="D216" s="620" t="s">
        <v>250</v>
      </c>
      <c r="E216" s="565">
        <f>25000+9370</f>
        <v>34370</v>
      </c>
      <c r="F216" s="565">
        <f>25000+9370</f>
        <v>34370</v>
      </c>
      <c r="G216" s="565">
        <v>25486</v>
      </c>
      <c r="H216" s="564">
        <f t="shared" ref="H216:H294" si="50">G216/F216</f>
        <v>0.74151876636601688</v>
      </c>
    </row>
    <row r="217" spans="1:8" ht="20.25" customHeight="1">
      <c r="A217" s="1986"/>
      <c r="B217" s="1989"/>
      <c r="C217" s="2027"/>
      <c r="D217" s="620" t="s">
        <v>256</v>
      </c>
      <c r="E217" s="565">
        <v>0</v>
      </c>
      <c r="F217" s="565">
        <v>0</v>
      </c>
      <c r="G217" s="565">
        <v>16</v>
      </c>
      <c r="H217" s="564"/>
    </row>
    <row r="218" spans="1:8" ht="18" customHeight="1">
      <c r="A218" s="1986"/>
      <c r="B218" s="1989"/>
      <c r="C218" s="2027"/>
      <c r="D218" s="620" t="s">
        <v>251</v>
      </c>
      <c r="E218" s="565">
        <v>15000</v>
      </c>
      <c r="F218" s="565">
        <v>15000</v>
      </c>
      <c r="G218" s="565">
        <v>41464</v>
      </c>
      <c r="H218" s="564">
        <f t="shared" si="50"/>
        <v>2.7642666666666669</v>
      </c>
    </row>
    <row r="219" spans="1:8" ht="18.75" customHeight="1">
      <c r="A219" s="1986"/>
      <c r="B219" s="1989"/>
      <c r="C219" s="2027"/>
      <c r="D219" s="620" t="s">
        <v>191</v>
      </c>
      <c r="E219" s="565">
        <v>5500</v>
      </c>
      <c r="F219" s="565">
        <v>5500</v>
      </c>
      <c r="G219" s="565">
        <v>129944</v>
      </c>
      <c r="H219" s="564">
        <f t="shared" si="50"/>
        <v>23.62618181818182</v>
      </c>
    </row>
    <row r="220" spans="1:8" ht="18.75" customHeight="1">
      <c r="A220" s="1986"/>
      <c r="B220" s="1989"/>
      <c r="C220" s="2028"/>
      <c r="D220" s="620" t="s">
        <v>174</v>
      </c>
      <c r="E220" s="565">
        <v>0</v>
      </c>
      <c r="F220" s="565">
        <v>0</v>
      </c>
      <c r="G220" s="565">
        <v>13472</v>
      </c>
      <c r="H220" s="564"/>
    </row>
    <row r="221" spans="1:8" ht="27" customHeight="1">
      <c r="A221" s="1986"/>
      <c r="B221" s="1989"/>
      <c r="C221" s="591" t="s">
        <v>379</v>
      </c>
      <c r="D221" s="620" t="s">
        <v>322</v>
      </c>
      <c r="E221" s="565">
        <v>74000</v>
      </c>
      <c r="F221" s="565">
        <v>74000</v>
      </c>
      <c r="G221" s="565">
        <v>74000</v>
      </c>
      <c r="H221" s="564">
        <f t="shared" si="50"/>
        <v>1</v>
      </c>
    </row>
    <row r="222" spans="1:8" ht="26.25" customHeight="1">
      <c r="A222" s="1986"/>
      <c r="B222" s="1990"/>
      <c r="C222" s="619" t="s">
        <v>380</v>
      </c>
      <c r="D222" s="620" t="s">
        <v>305</v>
      </c>
      <c r="E222" s="565">
        <v>0</v>
      </c>
      <c r="F222" s="565">
        <v>35547</v>
      </c>
      <c r="G222" s="565">
        <v>35547</v>
      </c>
      <c r="H222" s="564">
        <f t="shared" si="50"/>
        <v>1</v>
      </c>
    </row>
    <row r="223" spans="1:8">
      <c r="A223" s="1986"/>
      <c r="B223" s="1983" t="s">
        <v>257</v>
      </c>
      <c r="C223" s="2029"/>
      <c r="D223" s="596"/>
      <c r="E223" s="597">
        <f>E224</f>
        <v>0</v>
      </c>
      <c r="F223" s="597">
        <f t="shared" ref="F223:G223" si="51">F224</f>
        <v>0</v>
      </c>
      <c r="G223" s="597">
        <f t="shared" si="51"/>
        <v>18049</v>
      </c>
      <c r="H223" s="598"/>
    </row>
    <row r="224" spans="1:8" ht="26.25" thickBot="1">
      <c r="A224" s="1986"/>
      <c r="B224" s="793"/>
      <c r="C224" s="794" t="s">
        <v>377</v>
      </c>
      <c r="D224" s="620" t="s">
        <v>258</v>
      </c>
      <c r="E224" s="783">
        <v>0</v>
      </c>
      <c r="F224" s="783">
        <v>0</v>
      </c>
      <c r="G224" s="783">
        <v>18049</v>
      </c>
      <c r="H224" s="795"/>
    </row>
    <row r="225" spans="1:8" ht="15.75" thickBot="1">
      <c r="A225" s="1986"/>
      <c r="B225" s="684">
        <v>75046</v>
      </c>
      <c r="C225" s="606" t="s">
        <v>381</v>
      </c>
      <c r="D225" s="584"/>
      <c r="E225" s="557">
        <f t="shared" ref="E225:G225" si="52">SUM(E226,E229)</f>
        <v>21053</v>
      </c>
      <c r="F225" s="557">
        <f t="shared" si="52"/>
        <v>17053</v>
      </c>
      <c r="G225" s="557">
        <f t="shared" si="52"/>
        <v>9651</v>
      </c>
      <c r="H225" s="558">
        <f t="shared" si="50"/>
        <v>0.56594147657303695</v>
      </c>
    </row>
    <row r="226" spans="1:8">
      <c r="A226" s="1986"/>
      <c r="B226" s="1994" t="s">
        <v>247</v>
      </c>
      <c r="C226" s="2019"/>
      <c r="D226" s="742"/>
      <c r="E226" s="560">
        <f>SUM(E227:E228)</f>
        <v>21053</v>
      </c>
      <c r="F226" s="560">
        <f>SUM(F227:F228)</f>
        <v>17053</v>
      </c>
      <c r="G226" s="560">
        <f>SUM(G227:G228)</f>
        <v>9651</v>
      </c>
      <c r="H226" s="561">
        <f t="shared" si="50"/>
        <v>0.56594147657303695</v>
      </c>
    </row>
    <row r="227" spans="1:8" ht="38.25">
      <c r="A227" s="1986"/>
      <c r="B227" s="2035"/>
      <c r="C227" s="791" t="s">
        <v>262</v>
      </c>
      <c r="D227" s="719">
        <v>2210</v>
      </c>
      <c r="E227" s="565">
        <v>20000</v>
      </c>
      <c r="F227" s="565">
        <v>16000</v>
      </c>
      <c r="G227" s="565">
        <v>8881</v>
      </c>
      <c r="H227" s="564">
        <f t="shared" si="50"/>
        <v>0.55506250000000001</v>
      </c>
    </row>
    <row r="228" spans="1:8" ht="38.25">
      <c r="A228" s="1986"/>
      <c r="B228" s="2036"/>
      <c r="C228" s="748" t="s">
        <v>263</v>
      </c>
      <c r="D228" s="767">
        <v>2360</v>
      </c>
      <c r="E228" s="565">
        <v>1053</v>
      </c>
      <c r="F228" s="565">
        <v>1053</v>
      </c>
      <c r="G228" s="565">
        <v>770</v>
      </c>
      <c r="H228" s="564">
        <f t="shared" si="50"/>
        <v>0.73124406457739788</v>
      </c>
    </row>
    <row r="229" spans="1:8" ht="15.75" thickBot="1">
      <c r="A229" s="1986"/>
      <c r="B229" s="1991" t="s">
        <v>252</v>
      </c>
      <c r="C229" s="1992"/>
      <c r="D229" s="639"/>
      <c r="E229" s="569">
        <v>0</v>
      </c>
      <c r="F229" s="569">
        <v>0</v>
      </c>
      <c r="G229" s="569">
        <v>0</v>
      </c>
      <c r="H229" s="570"/>
    </row>
    <row r="230" spans="1:8" ht="15.75" thickBot="1">
      <c r="A230" s="635"/>
      <c r="B230" s="796">
        <v>75075</v>
      </c>
      <c r="C230" s="797" t="s">
        <v>382</v>
      </c>
      <c r="D230" s="798"/>
      <c r="E230" s="557">
        <f>SUM(E244,E231)</f>
        <v>824553</v>
      </c>
      <c r="F230" s="557">
        <f>SUM(F244,F231)</f>
        <v>824553</v>
      </c>
      <c r="G230" s="557">
        <f>SUM(G244,G231)</f>
        <v>4180677</v>
      </c>
      <c r="H230" s="558">
        <f t="shared" si="50"/>
        <v>5.0702344179209824</v>
      </c>
    </row>
    <row r="231" spans="1:8">
      <c r="A231" s="635"/>
      <c r="B231" s="1981" t="s">
        <v>247</v>
      </c>
      <c r="C231" s="2014"/>
      <c r="D231" s="585"/>
      <c r="E231" s="560">
        <f>SUM(E232:E243)</f>
        <v>824553</v>
      </c>
      <c r="F231" s="560">
        <f>SUM(F232:F243)</f>
        <v>824553</v>
      </c>
      <c r="G231" s="560">
        <f>SUM(G232:G243)</f>
        <v>4179739</v>
      </c>
      <c r="H231" s="561">
        <f t="shared" si="50"/>
        <v>5.0690968318592011</v>
      </c>
    </row>
    <row r="232" spans="1:8">
      <c r="A232" s="635"/>
      <c r="B232" s="1988"/>
      <c r="C232" s="2000" t="s">
        <v>377</v>
      </c>
      <c r="D232" s="620" t="s">
        <v>270</v>
      </c>
      <c r="E232" s="563">
        <v>0</v>
      </c>
      <c r="F232" s="563">
        <v>0</v>
      </c>
      <c r="G232" s="563">
        <v>107200</v>
      </c>
      <c r="H232" s="593"/>
    </row>
    <row r="233" spans="1:8" ht="15" customHeight="1">
      <c r="A233" s="635"/>
      <c r="B233" s="1989"/>
      <c r="C233" s="2015"/>
      <c r="D233" s="620" t="s">
        <v>251</v>
      </c>
      <c r="E233" s="563">
        <v>0</v>
      </c>
      <c r="F233" s="563">
        <v>0</v>
      </c>
      <c r="G233" s="563">
        <v>1624946</v>
      </c>
      <c r="H233" s="593"/>
    </row>
    <row r="234" spans="1:8">
      <c r="A234" s="635"/>
      <c r="B234" s="1989"/>
      <c r="C234" s="2015"/>
      <c r="D234" s="706" t="s">
        <v>191</v>
      </c>
      <c r="E234" s="563">
        <v>0</v>
      </c>
      <c r="F234" s="563">
        <v>0</v>
      </c>
      <c r="G234" s="563">
        <v>1301539</v>
      </c>
      <c r="H234" s="593"/>
    </row>
    <row r="235" spans="1:8">
      <c r="A235" s="635"/>
      <c r="B235" s="1989"/>
      <c r="C235" s="2001"/>
      <c r="D235" s="753" t="s">
        <v>174</v>
      </c>
      <c r="E235" s="670">
        <v>0</v>
      </c>
      <c r="F235" s="670">
        <v>0</v>
      </c>
      <c r="G235" s="670">
        <v>4035</v>
      </c>
      <c r="H235" s="671"/>
    </row>
    <row r="236" spans="1:8" s="747" customFormat="1" ht="55.5" customHeight="1">
      <c r="A236" s="781"/>
      <c r="B236" s="1989"/>
      <c r="C236" s="588" t="s">
        <v>383</v>
      </c>
      <c r="D236" s="2016" t="s">
        <v>384</v>
      </c>
      <c r="E236" s="670">
        <v>410695</v>
      </c>
      <c r="F236" s="670">
        <v>410695</v>
      </c>
      <c r="G236" s="670">
        <v>433510</v>
      </c>
      <c r="H236" s="671">
        <f t="shared" si="50"/>
        <v>1.0555521737542459</v>
      </c>
    </row>
    <row r="237" spans="1:8" s="747" customFormat="1" ht="53.25" customHeight="1">
      <c r="A237" s="781"/>
      <c r="B237" s="1989"/>
      <c r="C237" s="588" t="s">
        <v>385</v>
      </c>
      <c r="D237" s="2017"/>
      <c r="E237" s="670">
        <v>233971</v>
      </c>
      <c r="F237" s="670">
        <v>233971</v>
      </c>
      <c r="G237" s="670">
        <v>230391</v>
      </c>
      <c r="H237" s="671">
        <f t="shared" si="50"/>
        <v>0.98469895841792354</v>
      </c>
    </row>
    <row r="238" spans="1:8" s="747" customFormat="1" ht="56.25" customHeight="1">
      <c r="A238" s="781"/>
      <c r="B238" s="1989"/>
      <c r="C238" s="588" t="s">
        <v>386</v>
      </c>
      <c r="D238" s="2017"/>
      <c r="E238" s="670">
        <v>116837</v>
      </c>
      <c r="F238" s="670">
        <v>116837</v>
      </c>
      <c r="G238" s="670">
        <v>184392</v>
      </c>
      <c r="H238" s="671">
        <f t="shared" si="50"/>
        <v>1.57819868705975</v>
      </c>
    </row>
    <row r="239" spans="1:8" s="747" customFormat="1" ht="69" customHeight="1">
      <c r="A239" s="781"/>
      <c r="B239" s="1989"/>
      <c r="C239" s="588" t="s">
        <v>387</v>
      </c>
      <c r="D239" s="2017"/>
      <c r="E239" s="670">
        <v>0</v>
      </c>
      <c r="F239" s="670">
        <v>0</v>
      </c>
      <c r="G239" s="670">
        <v>129507</v>
      </c>
      <c r="H239" s="671"/>
    </row>
    <row r="240" spans="1:8" s="747" customFormat="1" ht="57" customHeight="1">
      <c r="A240" s="781"/>
      <c r="B240" s="1989"/>
      <c r="C240" s="588" t="s">
        <v>388</v>
      </c>
      <c r="D240" s="2017"/>
      <c r="E240" s="670">
        <v>49328</v>
      </c>
      <c r="F240" s="670">
        <v>49328</v>
      </c>
      <c r="G240" s="670">
        <v>119952</v>
      </c>
      <c r="H240" s="671">
        <f t="shared" si="50"/>
        <v>2.4317223483619852</v>
      </c>
    </row>
    <row r="241" spans="1:8" s="747" customFormat="1" ht="58.5" customHeight="1">
      <c r="A241" s="781"/>
      <c r="B241" s="1989"/>
      <c r="C241" s="588" t="s">
        <v>389</v>
      </c>
      <c r="D241" s="2016" t="s">
        <v>359</v>
      </c>
      <c r="E241" s="670">
        <v>10820</v>
      </c>
      <c r="F241" s="670">
        <v>10820</v>
      </c>
      <c r="G241" s="670">
        <v>11869</v>
      </c>
      <c r="H241" s="671">
        <f t="shared" si="50"/>
        <v>1.0969500924214417</v>
      </c>
    </row>
    <row r="242" spans="1:8" s="747" customFormat="1" ht="58.5" customHeight="1">
      <c r="A242" s="781"/>
      <c r="B242" s="1989"/>
      <c r="C242" s="588" t="s">
        <v>390</v>
      </c>
      <c r="D242" s="2018"/>
      <c r="E242" s="563">
        <v>2902</v>
      </c>
      <c r="F242" s="563">
        <v>2902</v>
      </c>
      <c r="G242" s="563">
        <v>10614</v>
      </c>
      <c r="H242" s="593">
        <f t="shared" si="50"/>
        <v>3.6574776016540316</v>
      </c>
    </row>
    <row r="243" spans="1:8" s="747" customFormat="1" ht="40.5" customHeight="1">
      <c r="A243" s="781"/>
      <c r="B243" s="1990"/>
      <c r="C243" s="799" t="s">
        <v>391</v>
      </c>
      <c r="D243" s="746" t="s">
        <v>307</v>
      </c>
      <c r="E243" s="670">
        <v>0</v>
      </c>
      <c r="F243" s="670">
        <v>0</v>
      </c>
      <c r="G243" s="670">
        <v>21784</v>
      </c>
      <c r="H243" s="671"/>
    </row>
    <row r="244" spans="1:8">
      <c r="A244" s="635"/>
      <c r="B244" s="2005" t="s">
        <v>257</v>
      </c>
      <c r="C244" s="2006"/>
      <c r="D244" s="800"/>
      <c r="E244" s="769">
        <f>E245+E246</f>
        <v>0</v>
      </c>
      <c r="F244" s="769">
        <f t="shared" ref="F244:G244" si="53">F245+F246</f>
        <v>0</v>
      </c>
      <c r="G244" s="769">
        <f t="shared" si="53"/>
        <v>938</v>
      </c>
      <c r="H244" s="770"/>
    </row>
    <row r="245" spans="1:8" s="747" customFormat="1" ht="51">
      <c r="A245" s="781"/>
      <c r="B245" s="2007"/>
      <c r="C245" s="801" t="s">
        <v>388</v>
      </c>
      <c r="D245" s="802">
        <v>6258</v>
      </c>
      <c r="E245" s="670">
        <v>0</v>
      </c>
      <c r="F245" s="670">
        <v>0</v>
      </c>
      <c r="G245" s="670">
        <v>849</v>
      </c>
      <c r="H245" s="671"/>
    </row>
    <row r="246" spans="1:8" s="747" customFormat="1" ht="52.5" customHeight="1" thickBot="1">
      <c r="A246" s="781"/>
      <c r="B246" s="2008"/>
      <c r="C246" s="801" t="s">
        <v>392</v>
      </c>
      <c r="D246" s="803">
        <v>6259</v>
      </c>
      <c r="E246" s="679">
        <v>0</v>
      </c>
      <c r="F246" s="679">
        <v>0</v>
      </c>
      <c r="G246" s="679">
        <v>89</v>
      </c>
      <c r="H246" s="680"/>
    </row>
    <row r="247" spans="1:8" s="747" customFormat="1" ht="15.75" thickBot="1">
      <c r="A247" s="781"/>
      <c r="B247" s="796">
        <v>75079</v>
      </c>
      <c r="C247" s="804" t="s">
        <v>393</v>
      </c>
      <c r="D247" s="798"/>
      <c r="E247" s="630">
        <f>E248+E250</f>
        <v>0</v>
      </c>
      <c r="F247" s="630">
        <f t="shared" ref="F247:G247" si="54">F248+F250</f>
        <v>319995</v>
      </c>
      <c r="G247" s="630">
        <f t="shared" si="54"/>
        <v>307672</v>
      </c>
      <c r="H247" s="631">
        <f t="shared" si="50"/>
        <v>0.96149002328161381</v>
      </c>
    </row>
    <row r="248" spans="1:8" s="747" customFormat="1">
      <c r="A248" s="781"/>
      <c r="B248" s="1981" t="s">
        <v>247</v>
      </c>
      <c r="C248" s="2009"/>
      <c r="D248" s="585"/>
      <c r="E248" s="586">
        <f>E249</f>
        <v>0</v>
      </c>
      <c r="F248" s="586">
        <f t="shared" ref="F248:G248" si="55">F249</f>
        <v>133135</v>
      </c>
      <c r="G248" s="586">
        <f t="shared" si="55"/>
        <v>120812</v>
      </c>
      <c r="H248" s="587">
        <f t="shared" si="50"/>
        <v>0.90743981672738194</v>
      </c>
    </row>
    <row r="249" spans="1:8" s="747" customFormat="1" ht="38.25">
      <c r="A249" s="781"/>
      <c r="B249" s="805"/>
      <c r="C249" s="806" t="s">
        <v>394</v>
      </c>
      <c r="D249" s="807">
        <v>2220</v>
      </c>
      <c r="E249" s="563">
        <v>0</v>
      </c>
      <c r="F249" s="563">
        <v>133135</v>
      </c>
      <c r="G249" s="563">
        <v>120812</v>
      </c>
      <c r="H249" s="593">
        <f t="shared" si="50"/>
        <v>0.90743981672738194</v>
      </c>
    </row>
    <row r="250" spans="1:8" s="747" customFormat="1">
      <c r="A250" s="781"/>
      <c r="B250" s="2010" t="s">
        <v>257</v>
      </c>
      <c r="C250" s="2011"/>
      <c r="D250" s="607"/>
      <c r="E250" s="575">
        <f>E251</f>
        <v>0</v>
      </c>
      <c r="F250" s="575">
        <f t="shared" ref="F250:G250" si="56">F251</f>
        <v>186860</v>
      </c>
      <c r="G250" s="575">
        <f t="shared" si="56"/>
        <v>186860</v>
      </c>
      <c r="H250" s="576">
        <f t="shared" si="50"/>
        <v>1</v>
      </c>
    </row>
    <row r="251" spans="1:8" s="747" customFormat="1" ht="39" thickBot="1">
      <c r="A251" s="781"/>
      <c r="B251" s="808"/>
      <c r="C251" s="809" t="s">
        <v>395</v>
      </c>
      <c r="D251" s="803">
        <v>6520</v>
      </c>
      <c r="E251" s="679">
        <v>0</v>
      </c>
      <c r="F251" s="679">
        <v>186860</v>
      </c>
      <c r="G251" s="679">
        <v>186860</v>
      </c>
      <c r="H251" s="680">
        <f t="shared" si="50"/>
        <v>1</v>
      </c>
    </row>
    <row r="252" spans="1:8" ht="15.75" thickBot="1">
      <c r="A252" s="635"/>
      <c r="B252" s="810">
        <v>75084</v>
      </c>
      <c r="C252" s="811" t="s">
        <v>396</v>
      </c>
      <c r="D252" s="812"/>
      <c r="E252" s="557">
        <f t="shared" ref="E252:G252" si="57">SUM(E253,E255)</f>
        <v>200000</v>
      </c>
      <c r="F252" s="557">
        <f t="shared" si="57"/>
        <v>200000</v>
      </c>
      <c r="G252" s="557">
        <f t="shared" si="57"/>
        <v>197139</v>
      </c>
      <c r="H252" s="558">
        <f t="shared" si="50"/>
        <v>0.98569499999999999</v>
      </c>
    </row>
    <row r="253" spans="1:8" ht="15" customHeight="1">
      <c r="A253" s="635"/>
      <c r="B253" s="1981" t="s">
        <v>247</v>
      </c>
      <c r="C253" s="2009"/>
      <c r="D253" s="585"/>
      <c r="E253" s="586">
        <f t="shared" ref="E253:G253" si="58">SUM(E254)</f>
        <v>200000</v>
      </c>
      <c r="F253" s="586">
        <f t="shared" si="58"/>
        <v>200000</v>
      </c>
      <c r="G253" s="586">
        <f t="shared" si="58"/>
        <v>197139</v>
      </c>
      <c r="H253" s="587">
        <f t="shared" si="50"/>
        <v>0.98569499999999999</v>
      </c>
    </row>
    <row r="254" spans="1:8" ht="42.75" customHeight="1">
      <c r="A254" s="635"/>
      <c r="B254" s="813"/>
      <c r="C254" s="814" t="s">
        <v>262</v>
      </c>
      <c r="D254" s="815">
        <v>2210</v>
      </c>
      <c r="E254" s="565">
        <v>200000</v>
      </c>
      <c r="F254" s="565">
        <v>200000</v>
      </c>
      <c r="G254" s="565">
        <v>197139</v>
      </c>
      <c r="H254" s="564">
        <f t="shared" si="50"/>
        <v>0.98569499999999999</v>
      </c>
    </row>
    <row r="255" spans="1:8" ht="15.75" thickBot="1">
      <c r="A255" s="635"/>
      <c r="B255" s="2012" t="s">
        <v>252</v>
      </c>
      <c r="C255" s="2013"/>
      <c r="D255" s="816"/>
      <c r="E255" s="569">
        <v>0</v>
      </c>
      <c r="F255" s="569">
        <v>0</v>
      </c>
      <c r="G255" s="569">
        <v>0</v>
      </c>
      <c r="H255" s="570"/>
    </row>
    <row r="256" spans="1:8" ht="15.75" thickBot="1">
      <c r="A256" s="1986"/>
      <c r="B256" s="710">
        <v>75095</v>
      </c>
      <c r="C256" s="606" t="s">
        <v>11</v>
      </c>
      <c r="D256" s="584"/>
      <c r="E256" s="630">
        <f>SUM(E257,E272)</f>
        <v>3802904</v>
      </c>
      <c r="F256" s="630">
        <f t="shared" ref="F256:G256" si="59">SUM(F257,F272)</f>
        <v>6316635</v>
      </c>
      <c r="G256" s="630">
        <f t="shared" si="59"/>
        <v>4282607</v>
      </c>
      <c r="H256" s="631">
        <f t="shared" si="50"/>
        <v>0.6779886759326762</v>
      </c>
    </row>
    <row r="257" spans="1:8">
      <c r="A257" s="1986"/>
      <c r="B257" s="1981" t="s">
        <v>247</v>
      </c>
      <c r="C257" s="1999"/>
      <c r="D257" s="685"/>
      <c r="E257" s="586">
        <f>SUM(E258:E271)</f>
        <v>3794904</v>
      </c>
      <c r="F257" s="586">
        <f t="shared" ref="F257:G257" si="60">SUM(F258:F271)</f>
        <v>6302635</v>
      </c>
      <c r="G257" s="586">
        <f t="shared" si="60"/>
        <v>4268607</v>
      </c>
      <c r="H257" s="587">
        <f t="shared" si="50"/>
        <v>0.67727339438187362</v>
      </c>
    </row>
    <row r="258" spans="1:8" ht="15" customHeight="1">
      <c r="A258" s="1986"/>
      <c r="B258" s="1988"/>
      <c r="C258" s="2000" t="s">
        <v>377</v>
      </c>
      <c r="D258" s="817" t="s">
        <v>270</v>
      </c>
      <c r="E258" s="563">
        <v>0</v>
      </c>
      <c r="F258" s="563">
        <v>25650</v>
      </c>
      <c r="G258" s="563">
        <v>31630</v>
      </c>
      <c r="H258" s="564">
        <f>G258/F258</f>
        <v>1.2331384015594542</v>
      </c>
    </row>
    <row r="259" spans="1:8">
      <c r="A259" s="1986"/>
      <c r="B259" s="1989"/>
      <c r="C259" s="2001"/>
      <c r="D259" s="711" t="s">
        <v>191</v>
      </c>
      <c r="E259" s="589">
        <v>0</v>
      </c>
      <c r="F259" s="589">
        <v>0</v>
      </c>
      <c r="G259" s="589">
        <v>378</v>
      </c>
      <c r="H259" s="564"/>
    </row>
    <row r="260" spans="1:8" ht="43.5" customHeight="1">
      <c r="A260" s="1986"/>
      <c r="B260" s="1989"/>
      <c r="C260" s="818" t="s">
        <v>397</v>
      </c>
      <c r="D260" s="2002">
        <v>2008</v>
      </c>
      <c r="E260" s="565">
        <v>1785000</v>
      </c>
      <c r="F260" s="563">
        <v>1842306</v>
      </c>
      <c r="G260" s="563">
        <v>1579740</v>
      </c>
      <c r="H260" s="564">
        <f t="shared" si="50"/>
        <v>0.85747970206903734</v>
      </c>
    </row>
    <row r="261" spans="1:8" ht="43.5" customHeight="1">
      <c r="A261" s="1986"/>
      <c r="B261" s="1989"/>
      <c r="C261" s="818" t="s">
        <v>398</v>
      </c>
      <c r="D261" s="2003"/>
      <c r="E261" s="565">
        <v>0</v>
      </c>
      <c r="F261" s="563">
        <v>17000</v>
      </c>
      <c r="G261" s="563">
        <v>10540</v>
      </c>
      <c r="H261" s="564">
        <f t="shared" si="50"/>
        <v>0.62</v>
      </c>
    </row>
    <row r="262" spans="1:8" ht="52.5" customHeight="1">
      <c r="A262" s="1986"/>
      <c r="B262" s="1989"/>
      <c r="C262" s="818" t="s">
        <v>399</v>
      </c>
      <c r="D262" s="2003"/>
      <c r="E262" s="565">
        <v>0</v>
      </c>
      <c r="F262" s="563">
        <v>31705</v>
      </c>
      <c r="G262" s="563">
        <v>5823</v>
      </c>
      <c r="H262" s="564">
        <f t="shared" si="50"/>
        <v>0.18366188298375649</v>
      </c>
    </row>
    <row r="263" spans="1:8" ht="53.25" customHeight="1">
      <c r="A263" s="1986"/>
      <c r="B263" s="1989"/>
      <c r="C263" s="819" t="s">
        <v>400</v>
      </c>
      <c r="D263" s="2004"/>
      <c r="E263" s="565">
        <v>472600</v>
      </c>
      <c r="F263" s="563">
        <v>2438958</v>
      </c>
      <c r="G263" s="563">
        <v>1027403</v>
      </c>
      <c r="H263" s="564">
        <f t="shared" si="50"/>
        <v>0.42124669633507422</v>
      </c>
    </row>
    <row r="264" spans="1:8" ht="45" customHeight="1">
      <c r="A264" s="1986"/>
      <c r="B264" s="1989"/>
      <c r="C264" s="820" t="s">
        <v>401</v>
      </c>
      <c r="D264" s="2002">
        <v>2009</v>
      </c>
      <c r="E264" s="589">
        <v>315000</v>
      </c>
      <c r="F264" s="589">
        <v>325113</v>
      </c>
      <c r="G264" s="589">
        <v>278780</v>
      </c>
      <c r="H264" s="573">
        <f t="shared" si="50"/>
        <v>0.85748647393367849</v>
      </c>
    </row>
    <row r="265" spans="1:8" ht="37.5" customHeight="1">
      <c r="A265" s="1986"/>
      <c r="B265" s="1989"/>
      <c r="C265" s="821" t="s">
        <v>402</v>
      </c>
      <c r="D265" s="2003"/>
      <c r="E265" s="589">
        <v>0</v>
      </c>
      <c r="F265" s="589">
        <v>3000</v>
      </c>
      <c r="G265" s="589">
        <v>1860</v>
      </c>
      <c r="H265" s="573">
        <f t="shared" si="50"/>
        <v>0.62</v>
      </c>
    </row>
    <row r="266" spans="1:8" ht="45" customHeight="1">
      <c r="A266" s="1986"/>
      <c r="B266" s="1989"/>
      <c r="C266" s="821" t="s">
        <v>403</v>
      </c>
      <c r="D266" s="2003"/>
      <c r="E266" s="563">
        <v>0</v>
      </c>
      <c r="F266" s="563">
        <v>5595</v>
      </c>
      <c r="G266" s="563">
        <v>1027</v>
      </c>
      <c r="H266" s="573">
        <f t="shared" si="50"/>
        <v>0.18355674709562109</v>
      </c>
    </row>
    <row r="267" spans="1:8" ht="51" customHeight="1">
      <c r="A267" s="1986"/>
      <c r="B267" s="1989"/>
      <c r="C267" s="611" t="s">
        <v>404</v>
      </c>
      <c r="D267" s="2004"/>
      <c r="E267" s="783">
        <v>83400</v>
      </c>
      <c r="F267" s="783">
        <v>430404</v>
      </c>
      <c r="G267" s="783">
        <v>181307</v>
      </c>
      <c r="H267" s="573">
        <f t="shared" si="50"/>
        <v>0.4212484084720402</v>
      </c>
    </row>
    <row r="268" spans="1:8" ht="57.75" customHeight="1">
      <c r="A268" s="1986"/>
      <c r="B268" s="1989"/>
      <c r="C268" s="822" t="s">
        <v>405</v>
      </c>
      <c r="D268" s="2002">
        <v>2058</v>
      </c>
      <c r="E268" s="565">
        <v>95638</v>
      </c>
      <c r="F268" s="565">
        <v>95638</v>
      </c>
      <c r="G268" s="563">
        <v>71849</v>
      </c>
      <c r="H268" s="564">
        <f t="shared" si="50"/>
        <v>0.75125995943035195</v>
      </c>
    </row>
    <row r="269" spans="1:8" ht="59.25" customHeight="1">
      <c r="A269" s="1986"/>
      <c r="B269" s="1989"/>
      <c r="C269" s="821" t="s">
        <v>406</v>
      </c>
      <c r="D269" s="2004"/>
      <c r="E269" s="565">
        <v>1033266</v>
      </c>
      <c r="F269" s="565">
        <v>1027266</v>
      </c>
      <c r="G269" s="563">
        <v>1018270</v>
      </c>
      <c r="H269" s="564">
        <f t="shared" si="50"/>
        <v>0.9912427745102047</v>
      </c>
    </row>
    <row r="270" spans="1:8" ht="58.5" customHeight="1">
      <c r="A270" s="1986"/>
      <c r="B270" s="1989"/>
      <c r="C270" s="823" t="s">
        <v>407</v>
      </c>
      <c r="D270" s="824">
        <v>2059</v>
      </c>
      <c r="E270" s="565">
        <v>10000</v>
      </c>
      <c r="F270" s="565">
        <v>10000</v>
      </c>
      <c r="G270" s="565">
        <v>10000</v>
      </c>
      <c r="H270" s="564">
        <f t="shared" si="50"/>
        <v>1</v>
      </c>
    </row>
    <row r="271" spans="1:8" ht="42.75" customHeight="1">
      <c r="A271" s="1986"/>
      <c r="B271" s="1990"/>
      <c r="C271" s="823" t="s">
        <v>408</v>
      </c>
      <c r="D271" s="824">
        <v>2710</v>
      </c>
      <c r="E271" s="565">
        <v>0</v>
      </c>
      <c r="F271" s="565">
        <v>50000</v>
      </c>
      <c r="G271" s="565">
        <v>50000</v>
      </c>
      <c r="H271" s="564">
        <f t="shared" si="50"/>
        <v>1</v>
      </c>
    </row>
    <row r="272" spans="1:8">
      <c r="A272" s="1986"/>
      <c r="B272" s="1983" t="s">
        <v>257</v>
      </c>
      <c r="C272" s="1984"/>
      <c r="D272" s="675"/>
      <c r="E272" s="597">
        <f>SUM(E273:E273)</f>
        <v>8000</v>
      </c>
      <c r="F272" s="597">
        <f t="shared" ref="F272:G272" si="61">SUM(F273:F273)</f>
        <v>14000</v>
      </c>
      <c r="G272" s="597">
        <f t="shared" si="61"/>
        <v>14000</v>
      </c>
      <c r="H272" s="598">
        <f t="shared" si="50"/>
        <v>1</v>
      </c>
    </row>
    <row r="273" spans="1:8" ht="55.5" customHeight="1" thickBot="1">
      <c r="A273" s="781"/>
      <c r="B273" s="825"/>
      <c r="C273" s="826" t="s">
        <v>406</v>
      </c>
      <c r="D273" s="827">
        <v>6258</v>
      </c>
      <c r="E273" s="580">
        <v>8000</v>
      </c>
      <c r="F273" s="580">
        <v>14000</v>
      </c>
      <c r="G273" s="580">
        <v>14000</v>
      </c>
      <c r="H273" s="581">
        <f t="shared" si="50"/>
        <v>1</v>
      </c>
    </row>
    <row r="274" spans="1:8" ht="28.5" customHeight="1" thickBot="1">
      <c r="A274" s="735">
        <v>751</v>
      </c>
      <c r="B274" s="754"/>
      <c r="C274" s="737" t="s">
        <v>409</v>
      </c>
      <c r="D274" s="755"/>
      <c r="E274" s="661">
        <f>E275</f>
        <v>0</v>
      </c>
      <c r="F274" s="661">
        <f>F275</f>
        <v>1014606</v>
      </c>
      <c r="G274" s="661">
        <f t="shared" ref="G274" si="62">G275</f>
        <v>927917</v>
      </c>
      <c r="H274" s="662">
        <f>G274/F274</f>
        <v>0.91455895194784975</v>
      </c>
    </row>
    <row r="275" spans="1:8" ht="42.75" customHeight="1" thickBot="1">
      <c r="A275" s="781"/>
      <c r="B275" s="684">
        <v>75109</v>
      </c>
      <c r="C275" s="606" t="s">
        <v>410</v>
      </c>
      <c r="D275" s="584"/>
      <c r="E275" s="630">
        <f>SUM(E276,E278)</f>
        <v>0</v>
      </c>
      <c r="F275" s="630">
        <f>SUM(F276,F278)</f>
        <v>1014606</v>
      </c>
      <c r="G275" s="630">
        <f t="shared" ref="G275" si="63">SUM(G276,G278)</f>
        <v>927917</v>
      </c>
      <c r="H275" s="631">
        <f>G275/F275</f>
        <v>0.91455895194784975</v>
      </c>
    </row>
    <row r="276" spans="1:8" ht="15.75" customHeight="1">
      <c r="A276" s="781"/>
      <c r="B276" s="1981" t="s">
        <v>247</v>
      </c>
      <c r="C276" s="1982"/>
      <c r="D276" s="828"/>
      <c r="E276" s="560">
        <f>E277</f>
        <v>0</v>
      </c>
      <c r="F276" s="560">
        <f t="shared" ref="F276:G276" si="64">F277</f>
        <v>1014606</v>
      </c>
      <c r="G276" s="560">
        <f t="shared" si="64"/>
        <v>927917</v>
      </c>
      <c r="H276" s="561">
        <f>G276/F276</f>
        <v>0.91455895194784975</v>
      </c>
    </row>
    <row r="277" spans="1:8" ht="37.5" customHeight="1">
      <c r="A277" s="781"/>
      <c r="B277" s="829"/>
      <c r="C277" s="782" t="s">
        <v>262</v>
      </c>
      <c r="D277" s="830">
        <v>2210</v>
      </c>
      <c r="E277" s="563">
        <v>0</v>
      </c>
      <c r="F277" s="563">
        <v>1014606</v>
      </c>
      <c r="G277" s="563">
        <v>927917</v>
      </c>
      <c r="H277" s="633">
        <f>G277/F277</f>
        <v>0.91455895194784975</v>
      </c>
    </row>
    <row r="278" spans="1:8" ht="13.5" customHeight="1" thickBot="1">
      <c r="A278" s="781"/>
      <c r="B278" s="1983" t="s">
        <v>252</v>
      </c>
      <c r="C278" s="1984"/>
      <c r="D278" s="675"/>
      <c r="E278" s="597">
        <v>0</v>
      </c>
      <c r="F278" s="597">
        <v>0</v>
      </c>
      <c r="G278" s="597">
        <v>0</v>
      </c>
      <c r="H278" s="598"/>
    </row>
    <row r="279" spans="1:8" ht="18" customHeight="1" thickBot="1">
      <c r="A279" s="735">
        <v>754</v>
      </c>
      <c r="B279" s="754"/>
      <c r="C279" s="737" t="s">
        <v>135</v>
      </c>
      <c r="D279" s="755"/>
      <c r="E279" s="661">
        <f>E280</f>
        <v>0</v>
      </c>
      <c r="F279" s="661">
        <f t="shared" ref="F279:G279" si="65">F280</f>
        <v>0</v>
      </c>
      <c r="G279" s="661">
        <f t="shared" si="65"/>
        <v>111</v>
      </c>
      <c r="H279" s="662"/>
    </row>
    <row r="280" spans="1:8" ht="18" customHeight="1" thickBot="1">
      <c r="A280" s="781"/>
      <c r="B280" s="684">
        <v>75415</v>
      </c>
      <c r="C280" s="606" t="s">
        <v>411</v>
      </c>
      <c r="D280" s="584"/>
      <c r="E280" s="630">
        <f>SUM(E281,E283)</f>
        <v>0</v>
      </c>
      <c r="F280" s="630">
        <f t="shared" ref="F280:G280" si="66">SUM(F281,F283)</f>
        <v>0</v>
      </c>
      <c r="G280" s="630">
        <f t="shared" si="66"/>
        <v>111</v>
      </c>
      <c r="H280" s="631"/>
    </row>
    <row r="281" spans="1:8" ht="13.5" customHeight="1">
      <c r="A281" s="781"/>
      <c r="B281" s="1981" t="s">
        <v>247</v>
      </c>
      <c r="C281" s="1982"/>
      <c r="D281" s="828"/>
      <c r="E281" s="560">
        <f>E282</f>
        <v>0</v>
      </c>
      <c r="F281" s="560">
        <f t="shared" ref="F281:G281" si="67">F282</f>
        <v>0</v>
      </c>
      <c r="G281" s="560">
        <f t="shared" si="67"/>
        <v>111</v>
      </c>
      <c r="H281" s="561"/>
    </row>
    <row r="282" spans="1:8" ht="69.75" customHeight="1">
      <c r="A282" s="781"/>
      <c r="B282" s="829"/>
      <c r="C282" s="782" t="s">
        <v>412</v>
      </c>
      <c r="D282" s="830">
        <v>2950</v>
      </c>
      <c r="E282" s="563">
        <v>0</v>
      </c>
      <c r="F282" s="563">
        <v>0</v>
      </c>
      <c r="G282" s="563">
        <v>111</v>
      </c>
      <c r="H282" s="633"/>
    </row>
    <row r="283" spans="1:8" ht="17.25" customHeight="1" thickBot="1">
      <c r="A283" s="781"/>
      <c r="B283" s="1983" t="s">
        <v>252</v>
      </c>
      <c r="C283" s="1984"/>
      <c r="D283" s="675"/>
      <c r="E283" s="597">
        <v>0</v>
      </c>
      <c r="F283" s="597">
        <v>0</v>
      </c>
      <c r="G283" s="597">
        <v>0</v>
      </c>
      <c r="H283" s="598"/>
    </row>
    <row r="284" spans="1:8" ht="43.5" customHeight="1" thickBot="1">
      <c r="A284" s="735">
        <v>756</v>
      </c>
      <c r="B284" s="754"/>
      <c r="C284" s="737" t="s">
        <v>413</v>
      </c>
      <c r="D284" s="755"/>
      <c r="E284" s="661">
        <f>SUM(E285,E292)</f>
        <v>216795920</v>
      </c>
      <c r="F284" s="661">
        <f>SUM(F285,F292)</f>
        <v>239594699</v>
      </c>
      <c r="G284" s="661">
        <f>SUM(G285,G292)</f>
        <v>257242036</v>
      </c>
      <c r="H284" s="662">
        <f t="shared" si="50"/>
        <v>1.0736549559470847</v>
      </c>
    </row>
    <row r="285" spans="1:8" ht="26.25" thickBot="1">
      <c r="A285" s="1985"/>
      <c r="B285" s="684">
        <v>75618</v>
      </c>
      <c r="C285" s="606" t="s">
        <v>156</v>
      </c>
      <c r="D285" s="584"/>
      <c r="E285" s="557">
        <f>SUM(E286,E291)</f>
        <v>5054667</v>
      </c>
      <c r="F285" s="557">
        <f>SUM(F286,F291)</f>
        <v>5054667</v>
      </c>
      <c r="G285" s="557">
        <f>SUM(G286,G291)</f>
        <v>5000875</v>
      </c>
      <c r="H285" s="558">
        <f t="shared" si="50"/>
        <v>0.98935795374848634</v>
      </c>
    </row>
    <row r="286" spans="1:8">
      <c r="A286" s="1986"/>
      <c r="B286" s="1981" t="s">
        <v>247</v>
      </c>
      <c r="C286" s="1982"/>
      <c r="D286" s="828"/>
      <c r="E286" s="560">
        <f>SUM(E287:E290)</f>
        <v>5054667</v>
      </c>
      <c r="F286" s="560">
        <f>SUM(F287:F290)</f>
        <v>5054667</v>
      </c>
      <c r="G286" s="560">
        <f>SUM(G287:G290)</f>
        <v>5000875</v>
      </c>
      <c r="H286" s="561">
        <f t="shared" si="50"/>
        <v>0.98935795374848634</v>
      </c>
    </row>
    <row r="287" spans="1:8" ht="25.5">
      <c r="A287" s="1986"/>
      <c r="B287" s="1988"/>
      <c r="C287" s="831" t="s">
        <v>414</v>
      </c>
      <c r="D287" s="832" t="s">
        <v>415</v>
      </c>
      <c r="E287" s="563">
        <v>4559725</v>
      </c>
      <c r="F287" s="563">
        <v>4559725</v>
      </c>
      <c r="G287" s="563">
        <v>4377883</v>
      </c>
      <c r="H287" s="593">
        <f t="shared" si="50"/>
        <v>0.96011996337498429</v>
      </c>
    </row>
    <row r="288" spans="1:8" ht="15.75" customHeight="1">
      <c r="A288" s="1986"/>
      <c r="B288" s="1989"/>
      <c r="C288" s="791" t="s">
        <v>416</v>
      </c>
      <c r="D288" s="620" t="s">
        <v>157</v>
      </c>
      <c r="E288" s="565">
        <v>440200</v>
      </c>
      <c r="F288" s="565">
        <v>440200</v>
      </c>
      <c r="G288" s="565">
        <v>530550</v>
      </c>
      <c r="H288" s="564">
        <f t="shared" si="50"/>
        <v>1.2052476147205815</v>
      </c>
    </row>
    <row r="289" spans="1:8" ht="41.25" customHeight="1">
      <c r="A289" s="1986"/>
      <c r="B289" s="1989"/>
      <c r="C289" s="748" t="s">
        <v>417</v>
      </c>
      <c r="D289" s="625" t="s">
        <v>418</v>
      </c>
      <c r="E289" s="565">
        <v>29742</v>
      </c>
      <c r="F289" s="565">
        <v>29742</v>
      </c>
      <c r="G289" s="565">
        <v>57878</v>
      </c>
      <c r="H289" s="564">
        <f t="shared" si="50"/>
        <v>1.9460022863290969</v>
      </c>
    </row>
    <row r="290" spans="1:8">
      <c r="A290" s="1986"/>
      <c r="B290" s="1990"/>
      <c r="C290" s="764" t="s">
        <v>419</v>
      </c>
      <c r="D290" s="622" t="s">
        <v>174</v>
      </c>
      <c r="E290" s="565">
        <v>25000</v>
      </c>
      <c r="F290" s="565">
        <v>25000</v>
      </c>
      <c r="G290" s="565">
        <v>34564</v>
      </c>
      <c r="H290" s="564">
        <f t="shared" si="50"/>
        <v>1.38256</v>
      </c>
    </row>
    <row r="291" spans="1:8" ht="15.75" thickBot="1">
      <c r="A291" s="1986"/>
      <c r="B291" s="1991" t="s">
        <v>252</v>
      </c>
      <c r="C291" s="1992"/>
      <c r="D291" s="639"/>
      <c r="E291" s="575">
        <v>0</v>
      </c>
      <c r="F291" s="575">
        <v>0</v>
      </c>
      <c r="G291" s="575">
        <v>0</v>
      </c>
      <c r="H291" s="576"/>
    </row>
    <row r="292" spans="1:8" ht="26.25" thickBot="1">
      <c r="A292" s="1986"/>
      <c r="B292" s="710">
        <v>75623</v>
      </c>
      <c r="C292" s="606" t="s">
        <v>420</v>
      </c>
      <c r="D292" s="584"/>
      <c r="E292" s="557">
        <f t="shared" ref="E292:G292" si="68">SUM(E293,E296)</f>
        <v>211741253</v>
      </c>
      <c r="F292" s="557">
        <f t="shared" si="68"/>
        <v>234540032</v>
      </c>
      <c r="G292" s="557">
        <f t="shared" si="68"/>
        <v>252241161</v>
      </c>
      <c r="H292" s="558">
        <f t="shared" si="50"/>
        <v>1.0754716747032762</v>
      </c>
    </row>
    <row r="293" spans="1:8">
      <c r="A293" s="1986"/>
      <c r="B293" s="1993" t="s">
        <v>247</v>
      </c>
      <c r="C293" s="1994"/>
      <c r="D293" s="833"/>
      <c r="E293" s="560">
        <f>SUM(E294:E295)</f>
        <v>211741253</v>
      </c>
      <c r="F293" s="560">
        <f>SUM(F294:F295)</f>
        <v>234540032</v>
      </c>
      <c r="G293" s="560">
        <f>SUM(G294:G295)</f>
        <v>252241161</v>
      </c>
      <c r="H293" s="561">
        <f t="shared" si="50"/>
        <v>1.0754716747032762</v>
      </c>
    </row>
    <row r="294" spans="1:8" ht="18.75" customHeight="1">
      <c r="A294" s="1986"/>
      <c r="B294" s="1995"/>
      <c r="C294" s="791" t="s">
        <v>421</v>
      </c>
      <c r="D294" s="620" t="s">
        <v>422</v>
      </c>
      <c r="E294" s="565">
        <v>56741253</v>
      </c>
      <c r="F294" s="565">
        <v>56741253</v>
      </c>
      <c r="G294" s="565">
        <v>60347077</v>
      </c>
      <c r="H294" s="564">
        <f t="shared" si="50"/>
        <v>1.0635485437729053</v>
      </c>
    </row>
    <row r="295" spans="1:8" ht="21.75" customHeight="1">
      <c r="A295" s="1986"/>
      <c r="B295" s="1996"/>
      <c r="C295" s="791" t="s">
        <v>423</v>
      </c>
      <c r="D295" s="620" t="s">
        <v>424</v>
      </c>
      <c r="E295" s="565">
        <f>145544960+4340610-128001+5242431</f>
        <v>155000000</v>
      </c>
      <c r="F295" s="565">
        <v>177798779</v>
      </c>
      <c r="G295" s="565">
        <v>191894084</v>
      </c>
      <c r="H295" s="564">
        <f t="shared" ref="H295:H359" si="69">G295/F295</f>
        <v>1.0792767255167708</v>
      </c>
    </row>
    <row r="296" spans="1:8" ht="15.75" thickBot="1">
      <c r="A296" s="1987"/>
      <c r="B296" s="1997" t="s">
        <v>252</v>
      </c>
      <c r="C296" s="1998"/>
      <c r="D296" s="639"/>
      <c r="E296" s="656">
        <v>0</v>
      </c>
      <c r="F296" s="656">
        <v>0</v>
      </c>
      <c r="G296" s="656">
        <v>0</v>
      </c>
      <c r="H296" s="657"/>
    </row>
    <row r="297" spans="1:8" ht="15.75" thickBot="1">
      <c r="A297" s="834">
        <v>758</v>
      </c>
      <c r="B297" s="835"/>
      <c r="C297" s="836" t="s">
        <v>425</v>
      </c>
      <c r="D297" s="837"/>
      <c r="E297" s="552">
        <f>SUM(E298,E306,E310,E314,E318,E331,E302)</f>
        <v>927319038</v>
      </c>
      <c r="F297" s="552">
        <f t="shared" ref="F297:G297" si="70">SUM(F298,F306,F310,F314,F318,F331,F302)</f>
        <v>710083122</v>
      </c>
      <c r="G297" s="552">
        <f t="shared" si="70"/>
        <v>626300410</v>
      </c>
      <c r="H297" s="553">
        <f t="shared" si="69"/>
        <v>0.88200999375394251</v>
      </c>
    </row>
    <row r="298" spans="1:8" s="747" customFormat="1" ht="26.25" thickBot="1">
      <c r="A298" s="1977"/>
      <c r="B298" s="838">
        <v>75801</v>
      </c>
      <c r="C298" s="839" t="s">
        <v>426</v>
      </c>
      <c r="D298" s="840"/>
      <c r="E298" s="557">
        <f t="shared" ref="E298:G298" si="71">SUM(E299,E301)</f>
        <v>33994835</v>
      </c>
      <c r="F298" s="557">
        <f t="shared" si="71"/>
        <v>33146746</v>
      </c>
      <c r="G298" s="557">
        <f t="shared" si="71"/>
        <v>33146746</v>
      </c>
      <c r="H298" s="558">
        <f t="shared" si="69"/>
        <v>1</v>
      </c>
    </row>
    <row r="299" spans="1:8" ht="16.5" customHeight="1">
      <c r="A299" s="1953"/>
      <c r="B299" s="1974" t="s">
        <v>247</v>
      </c>
      <c r="C299" s="1974"/>
      <c r="D299" s="841"/>
      <c r="E299" s="560">
        <f>SUM(E300)</f>
        <v>33994835</v>
      </c>
      <c r="F299" s="560">
        <f>SUM(F300)</f>
        <v>33146746</v>
      </c>
      <c r="G299" s="560">
        <f>SUM(G300)</f>
        <v>33146746</v>
      </c>
      <c r="H299" s="561">
        <f t="shared" si="69"/>
        <v>1</v>
      </c>
    </row>
    <row r="300" spans="1:8" ht="20.25" customHeight="1">
      <c r="A300" s="1953"/>
      <c r="B300" s="842"/>
      <c r="C300" s="843" t="s">
        <v>427</v>
      </c>
      <c r="D300" s="844">
        <v>2920</v>
      </c>
      <c r="E300" s="565">
        <v>33994835</v>
      </c>
      <c r="F300" s="565">
        <v>33146746</v>
      </c>
      <c r="G300" s="565">
        <v>33146746</v>
      </c>
      <c r="H300" s="564">
        <f t="shared" si="69"/>
        <v>1</v>
      </c>
    </row>
    <row r="301" spans="1:8" ht="15.75" thickBot="1">
      <c r="A301" s="1953"/>
      <c r="B301" s="1976" t="s">
        <v>252</v>
      </c>
      <c r="C301" s="1976"/>
      <c r="D301" s="845"/>
      <c r="E301" s="575">
        <v>0</v>
      </c>
      <c r="F301" s="575">
        <v>0</v>
      </c>
      <c r="G301" s="575">
        <v>0</v>
      </c>
      <c r="H301" s="576"/>
    </row>
    <row r="302" spans="1:8" ht="26.25" thickBot="1">
      <c r="A302" s="1953"/>
      <c r="B302" s="838">
        <v>75802</v>
      </c>
      <c r="C302" s="839" t="s">
        <v>428</v>
      </c>
      <c r="D302" s="840"/>
      <c r="E302" s="557">
        <f>E303+E304</f>
        <v>0</v>
      </c>
      <c r="F302" s="557">
        <f t="shared" ref="F302:G302" si="72">F303+F304</f>
        <v>5824200</v>
      </c>
      <c r="G302" s="557">
        <f t="shared" si="72"/>
        <v>5824200</v>
      </c>
      <c r="H302" s="558">
        <f t="shared" si="69"/>
        <v>1</v>
      </c>
    </row>
    <row r="303" spans="1:8">
      <c r="A303" s="1953"/>
      <c r="B303" s="1974" t="s">
        <v>429</v>
      </c>
      <c r="C303" s="1974"/>
      <c r="D303" s="841"/>
      <c r="E303" s="560">
        <v>0</v>
      </c>
      <c r="F303" s="560">
        <v>0</v>
      </c>
      <c r="G303" s="560">
        <v>0</v>
      </c>
      <c r="H303" s="561"/>
    </row>
    <row r="304" spans="1:8" ht="15.75" customHeight="1">
      <c r="A304" s="1953"/>
      <c r="B304" s="1978" t="s">
        <v>257</v>
      </c>
      <c r="C304" s="1979"/>
      <c r="D304" s="846"/>
      <c r="E304" s="597">
        <f>E305</f>
        <v>0</v>
      </c>
      <c r="F304" s="597">
        <f t="shared" ref="F304:G304" si="73">F305</f>
        <v>5824200</v>
      </c>
      <c r="G304" s="597">
        <f t="shared" si="73"/>
        <v>5824200</v>
      </c>
      <c r="H304" s="847">
        <f t="shared" si="69"/>
        <v>1</v>
      </c>
    </row>
    <row r="305" spans="1:8" ht="42" customHeight="1">
      <c r="A305" s="1953"/>
      <c r="B305" s="848"/>
      <c r="C305" s="849" t="s">
        <v>430</v>
      </c>
      <c r="D305" s="850">
        <v>6180</v>
      </c>
      <c r="E305" s="563">
        <v>0</v>
      </c>
      <c r="F305" s="563">
        <v>5824200</v>
      </c>
      <c r="G305" s="563">
        <v>5824200</v>
      </c>
      <c r="H305" s="633">
        <f t="shared" si="69"/>
        <v>1</v>
      </c>
    </row>
    <row r="306" spans="1:8" ht="15.75" thickBot="1">
      <c r="A306" s="1953"/>
      <c r="B306" s="851">
        <v>75804</v>
      </c>
      <c r="C306" s="852" t="s">
        <v>431</v>
      </c>
      <c r="D306" s="853"/>
      <c r="E306" s="723">
        <f t="shared" ref="E306:G306" si="74">SUM(E307,E309)</f>
        <v>141581106</v>
      </c>
      <c r="F306" s="723">
        <f t="shared" si="74"/>
        <v>141581106</v>
      </c>
      <c r="G306" s="723">
        <f t="shared" si="74"/>
        <v>141581106</v>
      </c>
      <c r="H306" s="724">
        <f t="shared" si="69"/>
        <v>1</v>
      </c>
    </row>
    <row r="307" spans="1:8">
      <c r="A307" s="1953"/>
      <c r="B307" s="1974" t="s">
        <v>247</v>
      </c>
      <c r="C307" s="1974"/>
      <c r="D307" s="841"/>
      <c r="E307" s="560">
        <f>SUM(E308)</f>
        <v>141581106</v>
      </c>
      <c r="F307" s="560">
        <f>SUM(F308)</f>
        <v>141581106</v>
      </c>
      <c r="G307" s="560">
        <f>SUM(G308)</f>
        <v>141581106</v>
      </c>
      <c r="H307" s="561">
        <f t="shared" si="69"/>
        <v>1</v>
      </c>
    </row>
    <row r="308" spans="1:8" ht="20.25" customHeight="1">
      <c r="A308" s="1953"/>
      <c r="B308" s="842"/>
      <c r="C308" s="843" t="s">
        <v>427</v>
      </c>
      <c r="D308" s="844">
        <v>2920</v>
      </c>
      <c r="E308" s="565">
        <v>141581106</v>
      </c>
      <c r="F308" s="565">
        <v>141581106</v>
      </c>
      <c r="G308" s="565">
        <v>141581106</v>
      </c>
      <c r="H308" s="564">
        <f t="shared" si="69"/>
        <v>1</v>
      </c>
    </row>
    <row r="309" spans="1:8" ht="17.25" customHeight="1">
      <c r="A309" s="1953"/>
      <c r="B309" s="1978" t="s">
        <v>252</v>
      </c>
      <c r="C309" s="1980"/>
      <c r="D309" s="854"/>
      <c r="E309" s="597">
        <v>0</v>
      </c>
      <c r="F309" s="597">
        <v>0</v>
      </c>
      <c r="G309" s="597">
        <v>0</v>
      </c>
      <c r="H309" s="598"/>
    </row>
    <row r="310" spans="1:8" ht="15.75" thickBot="1">
      <c r="A310" s="1953"/>
      <c r="B310" s="851">
        <v>75814</v>
      </c>
      <c r="C310" s="852" t="s">
        <v>432</v>
      </c>
      <c r="D310" s="853"/>
      <c r="E310" s="616">
        <f t="shared" ref="E310:G310" si="75">SUM(E311,E313)</f>
        <v>2500000</v>
      </c>
      <c r="F310" s="616">
        <f t="shared" si="75"/>
        <v>2500000</v>
      </c>
      <c r="G310" s="616">
        <f t="shared" si="75"/>
        <v>5278707</v>
      </c>
      <c r="H310" s="617">
        <f t="shared" si="69"/>
        <v>2.1114828000000001</v>
      </c>
    </row>
    <row r="311" spans="1:8">
      <c r="A311" s="1953"/>
      <c r="B311" s="1974" t="s">
        <v>247</v>
      </c>
      <c r="C311" s="1974"/>
      <c r="D311" s="841"/>
      <c r="E311" s="560">
        <f>SUM(E312)</f>
        <v>2500000</v>
      </c>
      <c r="F311" s="560">
        <f>SUM(F312)</f>
        <v>2500000</v>
      </c>
      <c r="G311" s="560">
        <f>SUM(G312)</f>
        <v>5278707</v>
      </c>
      <c r="H311" s="561">
        <f t="shared" si="69"/>
        <v>2.1114828000000001</v>
      </c>
    </row>
    <row r="312" spans="1:8" ht="18" customHeight="1">
      <c r="A312" s="1953"/>
      <c r="B312" s="842"/>
      <c r="C312" s="843" t="s">
        <v>433</v>
      </c>
      <c r="D312" s="855" t="s">
        <v>256</v>
      </c>
      <c r="E312" s="565">
        <v>2500000</v>
      </c>
      <c r="F312" s="565">
        <v>2500000</v>
      </c>
      <c r="G312" s="565">
        <v>5278707</v>
      </c>
      <c r="H312" s="564">
        <f t="shared" si="69"/>
        <v>2.1114828000000001</v>
      </c>
    </row>
    <row r="313" spans="1:8" ht="15.75" thickBot="1">
      <c r="A313" s="1953"/>
      <c r="B313" s="1976" t="s">
        <v>252</v>
      </c>
      <c r="C313" s="1976"/>
      <c r="D313" s="845"/>
      <c r="E313" s="575">
        <v>0</v>
      </c>
      <c r="F313" s="575">
        <v>0</v>
      </c>
      <c r="G313" s="575">
        <v>0</v>
      </c>
      <c r="H313" s="576"/>
    </row>
    <row r="314" spans="1:8" ht="15.75" thickBot="1">
      <c r="A314" s="1953"/>
      <c r="B314" s="838">
        <v>75833</v>
      </c>
      <c r="C314" s="839" t="s">
        <v>434</v>
      </c>
      <c r="D314" s="840"/>
      <c r="E314" s="557">
        <f t="shared" ref="E314:G314" si="76">SUM(E315,E317)</f>
        <v>55273958</v>
      </c>
      <c r="F314" s="557">
        <f t="shared" si="76"/>
        <v>61415508</v>
      </c>
      <c r="G314" s="557">
        <f t="shared" si="76"/>
        <v>61415508</v>
      </c>
      <c r="H314" s="558">
        <f t="shared" si="69"/>
        <v>1</v>
      </c>
    </row>
    <row r="315" spans="1:8">
      <c r="A315" s="1953"/>
      <c r="B315" s="1974" t="s">
        <v>247</v>
      </c>
      <c r="C315" s="1975"/>
      <c r="D315" s="856"/>
      <c r="E315" s="560">
        <f>SUM(E316)</f>
        <v>55273958</v>
      </c>
      <c r="F315" s="560">
        <f>SUM(F316)</f>
        <v>61415508</v>
      </c>
      <c r="G315" s="560">
        <f>SUM(G316)</f>
        <v>61415508</v>
      </c>
      <c r="H315" s="561">
        <f t="shared" si="69"/>
        <v>1</v>
      </c>
    </row>
    <row r="316" spans="1:8" ht="21" customHeight="1">
      <c r="A316" s="1953"/>
      <c r="B316" s="842"/>
      <c r="C316" s="857" t="s">
        <v>427</v>
      </c>
      <c r="D316" s="855" t="s">
        <v>435</v>
      </c>
      <c r="E316" s="565">
        <v>55273958</v>
      </c>
      <c r="F316" s="565">
        <v>61415508</v>
      </c>
      <c r="G316" s="565">
        <v>61415508</v>
      </c>
      <c r="H316" s="564">
        <f t="shared" si="69"/>
        <v>1</v>
      </c>
    </row>
    <row r="317" spans="1:8" ht="15.75" thickBot="1">
      <c r="A317" s="1953"/>
      <c r="B317" s="1976" t="s">
        <v>252</v>
      </c>
      <c r="C317" s="1975"/>
      <c r="D317" s="856"/>
      <c r="E317" s="575">
        <v>0</v>
      </c>
      <c r="F317" s="575">
        <v>0</v>
      </c>
      <c r="G317" s="575">
        <v>0</v>
      </c>
      <c r="H317" s="576"/>
    </row>
    <row r="318" spans="1:8" ht="39" thickBot="1">
      <c r="A318" s="1953"/>
      <c r="B318" s="858">
        <v>75863</v>
      </c>
      <c r="C318" s="839" t="s">
        <v>436</v>
      </c>
      <c r="D318" s="859"/>
      <c r="E318" s="630">
        <f>SUM(E319,E324)</f>
        <v>602772853</v>
      </c>
      <c r="F318" s="630">
        <f>SUM(F319,F324)</f>
        <v>374750232</v>
      </c>
      <c r="G318" s="630">
        <f>SUM(G319,G324)</f>
        <v>296465175</v>
      </c>
      <c r="H318" s="631">
        <f t="shared" si="69"/>
        <v>0.79110071104639101</v>
      </c>
    </row>
    <row r="319" spans="1:8">
      <c r="A319" s="1953"/>
      <c r="B319" s="1921" t="s">
        <v>247</v>
      </c>
      <c r="C319" s="1921"/>
      <c r="D319" s="860"/>
      <c r="E319" s="743">
        <f>SUM(E320:E323)</f>
        <v>66823949</v>
      </c>
      <c r="F319" s="743">
        <f>SUM(F320:F323)</f>
        <v>53533018</v>
      </c>
      <c r="G319" s="743">
        <f>SUM(G320:G323)</f>
        <v>32225427</v>
      </c>
      <c r="H319" s="744">
        <f t="shared" si="69"/>
        <v>0.6019729169762108</v>
      </c>
    </row>
    <row r="320" spans="1:8" s="747" customFormat="1" ht="36.75" customHeight="1">
      <c r="A320" s="1953"/>
      <c r="B320" s="1929"/>
      <c r="C320" s="861" t="s">
        <v>437</v>
      </c>
      <c r="D320" s="862">
        <v>2007</v>
      </c>
      <c r="E320" s="572">
        <f>91452672-33811764</f>
        <v>57640908</v>
      </c>
      <c r="F320" s="572">
        <v>44713119</v>
      </c>
      <c r="G320" s="572">
        <v>25798565</v>
      </c>
      <c r="H320" s="573">
        <f t="shared" si="69"/>
        <v>0.57697976739220536</v>
      </c>
    </row>
    <row r="321" spans="1:8" s="747" customFormat="1" ht="41.25" customHeight="1">
      <c r="A321" s="1953"/>
      <c r="B321" s="1935"/>
      <c r="C321" s="861" t="s">
        <v>438</v>
      </c>
      <c r="D321" s="863">
        <v>2009</v>
      </c>
      <c r="E321" s="572">
        <v>0</v>
      </c>
      <c r="F321" s="572">
        <v>39</v>
      </c>
      <c r="G321" s="572">
        <v>38</v>
      </c>
      <c r="H321" s="573">
        <f t="shared" si="69"/>
        <v>0.97435897435897434</v>
      </c>
    </row>
    <row r="322" spans="1:8" s="747" customFormat="1" ht="51.75" customHeight="1">
      <c r="A322" s="1953"/>
      <c r="B322" s="1935"/>
      <c r="C322" s="861" t="s">
        <v>439</v>
      </c>
      <c r="D322" s="1951">
        <v>2057</v>
      </c>
      <c r="E322" s="572">
        <v>0</v>
      </c>
      <c r="F322" s="589">
        <v>9221</v>
      </c>
      <c r="G322" s="589">
        <v>481406</v>
      </c>
      <c r="H322" s="573">
        <f t="shared" si="69"/>
        <v>52.20756967790912</v>
      </c>
    </row>
    <row r="323" spans="1:8" ht="37.5" customHeight="1">
      <c r="A323" s="1953"/>
      <c r="B323" s="1935"/>
      <c r="C323" s="861" t="s">
        <v>437</v>
      </c>
      <c r="D323" s="1952"/>
      <c r="E323" s="565">
        <f>10165789-982748</f>
        <v>9183041</v>
      </c>
      <c r="F323" s="563">
        <v>8810639</v>
      </c>
      <c r="G323" s="563">
        <v>5945418</v>
      </c>
      <c r="H323" s="564">
        <f t="shared" si="69"/>
        <v>0.67479986411882276</v>
      </c>
    </row>
    <row r="324" spans="1:8">
      <c r="A324" s="1953"/>
      <c r="B324" s="1942" t="s">
        <v>257</v>
      </c>
      <c r="C324" s="1943"/>
      <c r="D324" s="864"/>
      <c r="E324" s="597">
        <f>SUM(E325:E330)</f>
        <v>535948904</v>
      </c>
      <c r="F324" s="597">
        <f>SUM(F325:F330)</f>
        <v>321217214</v>
      </c>
      <c r="G324" s="597">
        <f>SUM(G325:G330)</f>
        <v>264239748</v>
      </c>
      <c r="H324" s="598">
        <f t="shared" si="69"/>
        <v>0.82262013517121158</v>
      </c>
    </row>
    <row r="325" spans="1:8" s="747" customFormat="1" ht="43.5" customHeight="1">
      <c r="A325" s="1953"/>
      <c r="B325" s="1929"/>
      <c r="C325" s="865" t="s">
        <v>437</v>
      </c>
      <c r="D325" s="862">
        <v>6207</v>
      </c>
      <c r="E325" s="565">
        <f>31191753-12877833</f>
        <v>18313920</v>
      </c>
      <c r="F325" s="565">
        <v>17477122</v>
      </c>
      <c r="G325" s="565">
        <v>309814</v>
      </c>
      <c r="H325" s="564">
        <f t="shared" si="69"/>
        <v>1.7726831683156988E-2</v>
      </c>
    </row>
    <row r="326" spans="1:8" ht="42.75" customHeight="1">
      <c r="A326" s="1953"/>
      <c r="B326" s="1935"/>
      <c r="C326" s="865" t="s">
        <v>440</v>
      </c>
      <c r="D326" s="862">
        <v>6209</v>
      </c>
      <c r="E326" s="565">
        <v>22474758</v>
      </c>
      <c r="F326" s="565">
        <v>11032380</v>
      </c>
      <c r="G326" s="565">
        <v>10903016</v>
      </c>
      <c r="H326" s="564">
        <f t="shared" si="69"/>
        <v>0.98827415299327981</v>
      </c>
    </row>
    <row r="327" spans="1:8" ht="44.25" customHeight="1">
      <c r="A327" s="1953"/>
      <c r="B327" s="1935"/>
      <c r="C327" s="866" t="s">
        <v>437</v>
      </c>
      <c r="D327" s="1951">
        <v>6257</v>
      </c>
      <c r="E327" s="565">
        <f>466703687-9361982</f>
        <v>457341705</v>
      </c>
      <c r="F327" s="563">
        <v>256350309</v>
      </c>
      <c r="G327" s="563">
        <v>221863475</v>
      </c>
      <c r="H327" s="564">
        <f t="shared" si="69"/>
        <v>0.86546989494754223</v>
      </c>
    </row>
    <row r="328" spans="1:8" ht="56.25" customHeight="1">
      <c r="A328" s="1953"/>
      <c r="B328" s="1935"/>
      <c r="C328" s="867" t="s">
        <v>439</v>
      </c>
      <c r="D328" s="1952"/>
      <c r="E328" s="565">
        <v>9494441</v>
      </c>
      <c r="F328" s="563">
        <v>9494441</v>
      </c>
      <c r="G328" s="563">
        <v>3593644</v>
      </c>
      <c r="H328" s="564">
        <f t="shared" si="69"/>
        <v>0.37849979793439131</v>
      </c>
    </row>
    <row r="329" spans="1:8" ht="48" customHeight="1">
      <c r="A329" s="1953"/>
      <c r="B329" s="1935"/>
      <c r="C329" s="868" t="s">
        <v>441</v>
      </c>
      <c r="D329" s="1951">
        <v>6259</v>
      </c>
      <c r="E329" s="624">
        <v>0</v>
      </c>
      <c r="F329" s="624">
        <v>0</v>
      </c>
      <c r="G329" s="624">
        <v>1432413</v>
      </c>
      <c r="H329" s="637"/>
    </row>
    <row r="330" spans="1:8" ht="48" customHeight="1" thickBot="1">
      <c r="A330" s="1953"/>
      <c r="B330" s="1956"/>
      <c r="C330" s="869" t="s">
        <v>442</v>
      </c>
      <c r="D330" s="1973"/>
      <c r="E330" s="580">
        <f>26579242+1744838</f>
        <v>28324080</v>
      </c>
      <c r="F330" s="580">
        <v>26862962</v>
      </c>
      <c r="G330" s="580">
        <v>26137386</v>
      </c>
      <c r="H330" s="581">
        <f t="shared" si="69"/>
        <v>0.97298972466252975</v>
      </c>
    </row>
    <row r="331" spans="1:8" ht="29.25" customHeight="1" thickBot="1">
      <c r="A331" s="1953"/>
      <c r="B331" s="858">
        <v>75864</v>
      </c>
      <c r="C331" s="839" t="s">
        <v>443</v>
      </c>
      <c r="D331" s="859"/>
      <c r="E331" s="630">
        <f t="shared" ref="E331:G331" si="77">SUM(E332,E338)</f>
        <v>91196286</v>
      </c>
      <c r="F331" s="630">
        <f t="shared" si="77"/>
        <v>90865330</v>
      </c>
      <c r="G331" s="630">
        <f t="shared" si="77"/>
        <v>82588968</v>
      </c>
      <c r="H331" s="631">
        <f t="shared" si="69"/>
        <v>0.9089161729781865</v>
      </c>
    </row>
    <row r="332" spans="1:8">
      <c r="A332" s="1953"/>
      <c r="B332" s="1921" t="s">
        <v>247</v>
      </c>
      <c r="C332" s="1940"/>
      <c r="D332" s="870"/>
      <c r="E332" s="560">
        <f>SUM(E333:E337)</f>
        <v>89402786</v>
      </c>
      <c r="F332" s="560">
        <f>SUM(F333:F337)</f>
        <v>89506876</v>
      </c>
      <c r="G332" s="560">
        <f>SUM(G333:G337)</f>
        <v>81361861</v>
      </c>
      <c r="H332" s="561">
        <f t="shared" si="69"/>
        <v>0.90900123695524804</v>
      </c>
    </row>
    <row r="333" spans="1:8" s="747" customFormat="1" ht="42.75" customHeight="1">
      <c r="A333" s="1953"/>
      <c r="B333" s="1929"/>
      <c r="C333" s="871" t="s">
        <v>437</v>
      </c>
      <c r="D333" s="872">
        <v>2007</v>
      </c>
      <c r="E333" s="565">
        <v>1530548</v>
      </c>
      <c r="F333" s="565">
        <v>1634701</v>
      </c>
      <c r="G333" s="565">
        <v>1530135</v>
      </c>
      <c r="H333" s="564">
        <f t="shared" si="69"/>
        <v>0.93603356210095912</v>
      </c>
    </row>
    <row r="334" spans="1:8" s="747" customFormat="1" ht="43.5" customHeight="1">
      <c r="A334" s="1953"/>
      <c r="B334" s="1935"/>
      <c r="C334" s="873" t="s">
        <v>444</v>
      </c>
      <c r="D334" s="862">
        <v>2009</v>
      </c>
      <c r="E334" s="601">
        <v>42043920</v>
      </c>
      <c r="F334" s="601">
        <v>42147709</v>
      </c>
      <c r="G334" s="601">
        <v>37290068</v>
      </c>
      <c r="H334" s="602">
        <f t="shared" si="69"/>
        <v>0.88474721128970502</v>
      </c>
    </row>
    <row r="335" spans="1:8" s="747" customFormat="1" ht="42.75" customHeight="1">
      <c r="A335" s="1953"/>
      <c r="B335" s="1935"/>
      <c r="C335" s="874" t="s">
        <v>437</v>
      </c>
      <c r="D335" s="863">
        <v>2057</v>
      </c>
      <c r="E335" s="565">
        <v>3589914</v>
      </c>
      <c r="F335" s="565">
        <v>5082407</v>
      </c>
      <c r="G335" s="565">
        <v>4523998</v>
      </c>
      <c r="H335" s="564">
        <f t="shared" si="69"/>
        <v>0.89012902744703448</v>
      </c>
    </row>
    <row r="336" spans="1:8" ht="42" customHeight="1">
      <c r="A336" s="1953"/>
      <c r="B336" s="1935"/>
      <c r="C336" s="875" t="s">
        <v>445</v>
      </c>
      <c r="D336" s="876">
        <v>2058</v>
      </c>
      <c r="E336" s="601">
        <v>42035324</v>
      </c>
      <c r="F336" s="601">
        <v>39808692</v>
      </c>
      <c r="G336" s="601">
        <v>37404357</v>
      </c>
      <c r="H336" s="602">
        <f t="shared" si="69"/>
        <v>0.93960276313524693</v>
      </c>
    </row>
    <row r="337" spans="1:8" ht="42" customHeight="1">
      <c r="A337" s="1953"/>
      <c r="B337" s="1935"/>
      <c r="C337" s="861" t="s">
        <v>446</v>
      </c>
      <c r="D337" s="862">
        <v>2059</v>
      </c>
      <c r="E337" s="565">
        <v>203080</v>
      </c>
      <c r="F337" s="565">
        <v>833367</v>
      </c>
      <c r="G337" s="565">
        <v>613303</v>
      </c>
      <c r="H337" s="564">
        <f t="shared" si="69"/>
        <v>0.7359338682717218</v>
      </c>
    </row>
    <row r="338" spans="1:8">
      <c r="A338" s="1953"/>
      <c r="B338" s="1942" t="s">
        <v>257</v>
      </c>
      <c r="C338" s="1943"/>
      <c r="D338" s="877"/>
      <c r="E338" s="575">
        <f>SUM(E339:E340)</f>
        <v>1793500</v>
      </c>
      <c r="F338" s="575">
        <f>SUM(F339:F340)</f>
        <v>1358454</v>
      </c>
      <c r="G338" s="575">
        <f>SUM(G339:G340)</f>
        <v>1227107</v>
      </c>
      <c r="H338" s="576">
        <f t="shared" si="69"/>
        <v>0.90331141135437787</v>
      </c>
    </row>
    <row r="339" spans="1:8" s="747" customFormat="1" ht="40.5" customHeight="1">
      <c r="A339" s="1953"/>
      <c r="B339" s="878"/>
      <c r="C339" s="865" t="s">
        <v>444</v>
      </c>
      <c r="D339" s="863">
        <v>6209</v>
      </c>
      <c r="E339" s="565">
        <v>1122000</v>
      </c>
      <c r="F339" s="565">
        <v>1255349</v>
      </c>
      <c r="G339" s="565">
        <v>1153863</v>
      </c>
      <c r="H339" s="564">
        <f t="shared" si="69"/>
        <v>0.91915714275472393</v>
      </c>
    </row>
    <row r="340" spans="1:8" s="747" customFormat="1" ht="42" customHeight="1" thickBot="1">
      <c r="A340" s="1953"/>
      <c r="B340" s="879"/>
      <c r="C340" s="880" t="s">
        <v>447</v>
      </c>
      <c r="D340" s="872">
        <v>6258</v>
      </c>
      <c r="E340" s="565">
        <v>671500</v>
      </c>
      <c r="F340" s="565">
        <v>103105</v>
      </c>
      <c r="G340" s="565">
        <v>73244</v>
      </c>
      <c r="H340" s="564">
        <f t="shared" si="69"/>
        <v>0.71038261965957039</v>
      </c>
    </row>
    <row r="341" spans="1:8" s="883" customFormat="1" ht="16.5" customHeight="1" thickBot="1">
      <c r="A341" s="834">
        <v>801</v>
      </c>
      <c r="B341" s="881"/>
      <c r="C341" s="836" t="s">
        <v>85</v>
      </c>
      <c r="D341" s="882"/>
      <c r="E341" s="552">
        <f>SUM(E342,E351,E358,E370,E347,E379,E383)</f>
        <v>311066</v>
      </c>
      <c r="F341" s="552">
        <f t="shared" ref="F341:G341" si="78">SUM(F342,F351,F358,F370,F347,F379,F383)</f>
        <v>2615709</v>
      </c>
      <c r="G341" s="552">
        <f t="shared" si="78"/>
        <v>2733874</v>
      </c>
      <c r="H341" s="553">
        <f t="shared" si="69"/>
        <v>1.0451751322490384</v>
      </c>
    </row>
    <row r="342" spans="1:8" s="887" customFormat="1" ht="15.75" thickBot="1">
      <c r="A342" s="1912"/>
      <c r="B342" s="884">
        <v>80102</v>
      </c>
      <c r="C342" s="885" t="s">
        <v>448</v>
      </c>
      <c r="D342" s="886"/>
      <c r="E342" s="557">
        <f>SUM(E343,E346)</f>
        <v>2500</v>
      </c>
      <c r="F342" s="557">
        <f t="shared" ref="F342:G342" si="79">SUM(F343,F346)</f>
        <v>2500</v>
      </c>
      <c r="G342" s="557">
        <f t="shared" si="79"/>
        <v>1930</v>
      </c>
      <c r="H342" s="558">
        <f t="shared" si="69"/>
        <v>0.77200000000000002</v>
      </c>
    </row>
    <row r="343" spans="1:8">
      <c r="A343" s="1913"/>
      <c r="B343" s="1940" t="s">
        <v>247</v>
      </c>
      <c r="C343" s="1940"/>
      <c r="D343" s="870"/>
      <c r="E343" s="560">
        <f>SUM(E344:E345)</f>
        <v>2500</v>
      </c>
      <c r="F343" s="560">
        <f t="shared" ref="F343:G343" si="80">SUM(F344:F345)</f>
        <v>2500</v>
      </c>
      <c r="G343" s="560">
        <f t="shared" si="80"/>
        <v>1930</v>
      </c>
      <c r="H343" s="561">
        <f t="shared" si="69"/>
        <v>0.77200000000000002</v>
      </c>
    </row>
    <row r="344" spans="1:8" ht="17.25" customHeight="1">
      <c r="A344" s="1913"/>
      <c r="B344" s="1929"/>
      <c r="C344" s="888" t="s">
        <v>449</v>
      </c>
      <c r="D344" s="706" t="s">
        <v>174</v>
      </c>
      <c r="E344" s="565">
        <v>2500</v>
      </c>
      <c r="F344" s="565">
        <v>2500</v>
      </c>
      <c r="G344" s="565">
        <v>1928</v>
      </c>
      <c r="H344" s="564">
        <f t="shared" si="69"/>
        <v>0.7712</v>
      </c>
    </row>
    <row r="345" spans="1:8" ht="30" customHeight="1">
      <c r="A345" s="1913"/>
      <c r="B345" s="1930"/>
      <c r="C345" s="889" t="s">
        <v>450</v>
      </c>
      <c r="D345" s="753" t="s">
        <v>451</v>
      </c>
      <c r="E345" s="565">
        <v>0</v>
      </c>
      <c r="F345" s="565">
        <v>0</v>
      </c>
      <c r="G345" s="565">
        <v>2</v>
      </c>
      <c r="H345" s="564"/>
    </row>
    <row r="346" spans="1:8" ht="15.75" thickBot="1">
      <c r="A346" s="1913"/>
      <c r="B346" s="1936" t="s">
        <v>252</v>
      </c>
      <c r="C346" s="1931"/>
      <c r="D346" s="890"/>
      <c r="E346" s="656">
        <v>0</v>
      </c>
      <c r="F346" s="656">
        <v>0</v>
      </c>
      <c r="G346" s="656">
        <v>0</v>
      </c>
      <c r="H346" s="657"/>
    </row>
    <row r="347" spans="1:8" ht="15.75" thickBot="1">
      <c r="A347" s="1913"/>
      <c r="B347" s="884">
        <v>80116</v>
      </c>
      <c r="C347" s="885" t="s">
        <v>452</v>
      </c>
      <c r="D347" s="886"/>
      <c r="E347" s="557">
        <f>E348+E350</f>
        <v>0</v>
      </c>
      <c r="F347" s="557">
        <f t="shared" ref="F347:G347" si="81">F348+F350</f>
        <v>6480</v>
      </c>
      <c r="G347" s="557">
        <f t="shared" si="81"/>
        <v>6480</v>
      </c>
      <c r="H347" s="558">
        <f>G347/F347</f>
        <v>1</v>
      </c>
    </row>
    <row r="348" spans="1:8">
      <c r="A348" s="1913"/>
      <c r="B348" s="1940" t="s">
        <v>247</v>
      </c>
      <c r="C348" s="1940"/>
      <c r="D348" s="870"/>
      <c r="E348" s="586">
        <f>SUM(E349:E349)</f>
        <v>0</v>
      </c>
      <c r="F348" s="586">
        <f t="shared" ref="F348:G348" si="82">SUM(F349:F349)</f>
        <v>6480</v>
      </c>
      <c r="G348" s="586">
        <f t="shared" si="82"/>
        <v>6480</v>
      </c>
      <c r="H348" s="587">
        <f>G348/F348</f>
        <v>1</v>
      </c>
    </row>
    <row r="349" spans="1:8" ht="33" customHeight="1">
      <c r="A349" s="1913"/>
      <c r="B349" s="891"/>
      <c r="C349" s="892" t="s">
        <v>379</v>
      </c>
      <c r="D349" s="893">
        <v>2230</v>
      </c>
      <c r="E349" s="589">
        <v>0</v>
      </c>
      <c r="F349" s="589">
        <v>6480</v>
      </c>
      <c r="G349" s="589">
        <v>6480</v>
      </c>
      <c r="H349" s="590">
        <f>G349/F349</f>
        <v>1</v>
      </c>
    </row>
    <row r="350" spans="1:8" ht="15.75" thickBot="1">
      <c r="A350" s="1913"/>
      <c r="B350" s="1921" t="s">
        <v>252</v>
      </c>
      <c r="C350" s="1920"/>
      <c r="D350" s="894"/>
      <c r="E350" s="575">
        <v>0</v>
      </c>
      <c r="F350" s="575">
        <v>0</v>
      </c>
      <c r="G350" s="575">
        <v>0</v>
      </c>
      <c r="H350" s="576"/>
    </row>
    <row r="351" spans="1:8" s="887" customFormat="1" ht="15.75" thickBot="1">
      <c r="A351" s="1913"/>
      <c r="B351" s="884">
        <v>80130</v>
      </c>
      <c r="C351" s="885" t="s">
        <v>453</v>
      </c>
      <c r="D351" s="886"/>
      <c r="E351" s="557">
        <f>SUM(E352,E357)</f>
        <v>6330</v>
      </c>
      <c r="F351" s="557">
        <f>SUM(F352,F357)</f>
        <v>6330</v>
      </c>
      <c r="G351" s="557">
        <f>SUM(G352,G357)</f>
        <v>56451</v>
      </c>
      <c r="H351" s="558">
        <f t="shared" si="69"/>
        <v>8.9180094786729853</v>
      </c>
    </row>
    <row r="352" spans="1:8">
      <c r="A352" s="1913"/>
      <c r="B352" s="1940" t="s">
        <v>247</v>
      </c>
      <c r="C352" s="1940"/>
      <c r="D352" s="860"/>
      <c r="E352" s="560">
        <f>SUM(E353:E356)</f>
        <v>6330</v>
      </c>
      <c r="F352" s="560">
        <f t="shared" ref="F352:G352" si="83">SUM(F353:F356)</f>
        <v>6330</v>
      </c>
      <c r="G352" s="560">
        <f t="shared" si="83"/>
        <v>56451</v>
      </c>
      <c r="H352" s="561">
        <f t="shared" si="69"/>
        <v>8.9180094786729853</v>
      </c>
    </row>
    <row r="353" spans="1:8">
      <c r="A353" s="1913"/>
      <c r="B353" s="1929"/>
      <c r="C353" s="1927" t="s">
        <v>449</v>
      </c>
      <c r="D353" s="706" t="s">
        <v>250</v>
      </c>
      <c r="E353" s="563">
        <v>0</v>
      </c>
      <c r="F353" s="563">
        <v>0</v>
      </c>
      <c r="G353" s="563">
        <v>42377</v>
      </c>
      <c r="H353" s="593"/>
    </row>
    <row r="354" spans="1:8">
      <c r="A354" s="1913"/>
      <c r="B354" s="1935"/>
      <c r="C354" s="1961"/>
      <c r="D354" s="706" t="s">
        <v>251</v>
      </c>
      <c r="E354" s="563">
        <v>0</v>
      </c>
      <c r="F354" s="563">
        <v>0</v>
      </c>
      <c r="G354" s="563">
        <v>6723</v>
      </c>
      <c r="H354" s="593"/>
    </row>
    <row r="355" spans="1:8" ht="16.5" customHeight="1">
      <c r="A355" s="1913"/>
      <c r="B355" s="1935"/>
      <c r="C355" s="1961"/>
      <c r="D355" s="706" t="s">
        <v>174</v>
      </c>
      <c r="E355" s="565">
        <v>6330</v>
      </c>
      <c r="F355" s="565">
        <v>6330</v>
      </c>
      <c r="G355" s="565">
        <v>6964</v>
      </c>
      <c r="H355" s="564">
        <f t="shared" si="69"/>
        <v>1.1001579778830963</v>
      </c>
    </row>
    <row r="356" spans="1:8" ht="16.5" customHeight="1">
      <c r="A356" s="1913"/>
      <c r="B356" s="1930"/>
      <c r="C356" s="1928"/>
      <c r="D356" s="706" t="s">
        <v>451</v>
      </c>
      <c r="E356" s="565">
        <v>0</v>
      </c>
      <c r="F356" s="565">
        <v>0</v>
      </c>
      <c r="G356" s="565">
        <v>387</v>
      </c>
      <c r="H356" s="564"/>
    </row>
    <row r="357" spans="1:8" ht="15.75" thickBot="1">
      <c r="A357" s="1913"/>
      <c r="B357" s="1943" t="s">
        <v>252</v>
      </c>
      <c r="C357" s="1943"/>
      <c r="D357" s="895"/>
      <c r="E357" s="575">
        <v>0</v>
      </c>
      <c r="F357" s="575">
        <v>0</v>
      </c>
      <c r="G357" s="575">
        <v>0</v>
      </c>
      <c r="H357" s="576"/>
    </row>
    <row r="358" spans="1:8" ht="15.75" thickBot="1">
      <c r="A358" s="1913"/>
      <c r="B358" s="884">
        <v>80146</v>
      </c>
      <c r="C358" s="885" t="s">
        <v>454</v>
      </c>
      <c r="D358" s="886"/>
      <c r="E358" s="557">
        <f>SUM(E359,E369)</f>
        <v>271346</v>
      </c>
      <c r="F358" s="557">
        <f t="shared" ref="F358:G358" si="84">SUM(F359,F369)</f>
        <v>775273</v>
      </c>
      <c r="G358" s="557">
        <f t="shared" si="84"/>
        <v>795611</v>
      </c>
      <c r="H358" s="558">
        <f t="shared" si="69"/>
        <v>1.0262333397396788</v>
      </c>
    </row>
    <row r="359" spans="1:8">
      <c r="A359" s="1913"/>
      <c r="B359" s="1932" t="s">
        <v>247</v>
      </c>
      <c r="C359" s="1962"/>
      <c r="D359" s="896"/>
      <c r="E359" s="586">
        <f>SUM(E360:E368)</f>
        <v>271346</v>
      </c>
      <c r="F359" s="586">
        <f t="shared" ref="F359:G359" si="85">SUM(F360:F368)</f>
        <v>775273</v>
      </c>
      <c r="G359" s="586">
        <f t="shared" si="85"/>
        <v>795611</v>
      </c>
      <c r="H359" s="587">
        <f t="shared" si="69"/>
        <v>1.0262333397396788</v>
      </c>
    </row>
    <row r="360" spans="1:8" ht="18" customHeight="1">
      <c r="A360" s="1913"/>
      <c r="B360" s="1929"/>
      <c r="C360" s="874" t="s">
        <v>449</v>
      </c>
      <c r="D360" s="897" t="s">
        <v>174</v>
      </c>
      <c r="E360" s="563">
        <v>0</v>
      </c>
      <c r="F360" s="563">
        <v>0</v>
      </c>
      <c r="G360" s="563">
        <v>1792</v>
      </c>
      <c r="H360" s="593"/>
    </row>
    <row r="361" spans="1:8" ht="51.75" customHeight="1">
      <c r="A361" s="1913"/>
      <c r="B361" s="1935"/>
      <c r="C361" s="898" t="s">
        <v>455</v>
      </c>
      <c r="D361" s="1969" t="s">
        <v>456</v>
      </c>
      <c r="E361" s="589">
        <v>129728</v>
      </c>
      <c r="F361" s="589">
        <v>134849</v>
      </c>
      <c r="G361" s="589">
        <v>84624</v>
      </c>
      <c r="H361" s="590">
        <f t="shared" ref="H361:H438" si="86">G361/F361</f>
        <v>0.62754636667680141</v>
      </c>
    </row>
    <row r="362" spans="1:8" ht="51.75" customHeight="1">
      <c r="A362" s="1913"/>
      <c r="B362" s="1935"/>
      <c r="C362" s="898" t="s">
        <v>457</v>
      </c>
      <c r="D362" s="1969"/>
      <c r="E362" s="589"/>
      <c r="F362" s="589">
        <v>415917</v>
      </c>
      <c r="G362" s="589">
        <v>393507</v>
      </c>
      <c r="H362" s="590">
        <f t="shared" si="86"/>
        <v>0.94611905740808866</v>
      </c>
    </row>
    <row r="363" spans="1:8" ht="55.5" customHeight="1">
      <c r="A363" s="1913"/>
      <c r="B363" s="1935"/>
      <c r="C363" s="888" t="s">
        <v>458</v>
      </c>
      <c r="D363" s="1970"/>
      <c r="E363" s="589">
        <v>111999</v>
      </c>
      <c r="F363" s="589">
        <v>138412</v>
      </c>
      <c r="G363" s="589">
        <v>86637</v>
      </c>
      <c r="H363" s="590">
        <f t="shared" si="86"/>
        <v>0.62593561251914576</v>
      </c>
    </row>
    <row r="364" spans="1:8" ht="51" customHeight="1">
      <c r="A364" s="1913"/>
      <c r="B364" s="1935"/>
      <c r="C364" s="888" t="s">
        <v>459</v>
      </c>
      <c r="D364" s="897" t="s">
        <v>384</v>
      </c>
      <c r="E364" s="589">
        <v>0</v>
      </c>
      <c r="F364" s="589">
        <v>0</v>
      </c>
      <c r="G364" s="589">
        <v>148980</v>
      </c>
      <c r="H364" s="590"/>
    </row>
    <row r="365" spans="1:8" ht="52.5" customHeight="1">
      <c r="A365" s="1913"/>
      <c r="B365" s="1935"/>
      <c r="C365" s="899" t="s">
        <v>460</v>
      </c>
      <c r="D365" s="1971" t="s">
        <v>359</v>
      </c>
      <c r="E365" s="563">
        <v>13723</v>
      </c>
      <c r="F365" s="563">
        <v>17165</v>
      </c>
      <c r="G365" s="563">
        <v>11076</v>
      </c>
      <c r="H365" s="593">
        <f t="shared" si="86"/>
        <v>0.64526653073113893</v>
      </c>
    </row>
    <row r="366" spans="1:8" ht="52.5" customHeight="1">
      <c r="A366" s="1913"/>
      <c r="B366" s="1935"/>
      <c r="C366" s="899" t="s">
        <v>461</v>
      </c>
      <c r="D366" s="1969"/>
      <c r="E366" s="563">
        <v>0</v>
      </c>
      <c r="F366" s="563">
        <v>50965</v>
      </c>
      <c r="G366" s="563">
        <v>48239</v>
      </c>
      <c r="H366" s="593">
        <f t="shared" si="86"/>
        <v>0.94651231237123512</v>
      </c>
    </row>
    <row r="367" spans="1:8" ht="55.5" customHeight="1">
      <c r="A367" s="1913"/>
      <c r="B367" s="1935"/>
      <c r="C367" s="899" t="s">
        <v>462</v>
      </c>
      <c r="D367" s="1969"/>
      <c r="E367" s="563">
        <v>0</v>
      </c>
      <c r="F367" s="563">
        <v>0</v>
      </c>
      <c r="G367" s="563">
        <v>8718</v>
      </c>
      <c r="H367" s="593"/>
    </row>
    <row r="368" spans="1:8" ht="56.25" customHeight="1">
      <c r="A368" s="1913"/>
      <c r="B368" s="1930"/>
      <c r="C368" s="900" t="s">
        <v>463</v>
      </c>
      <c r="D368" s="1969"/>
      <c r="E368" s="563">
        <v>15896</v>
      </c>
      <c r="F368" s="563">
        <v>17965</v>
      </c>
      <c r="G368" s="563">
        <v>12038</v>
      </c>
      <c r="H368" s="593">
        <f t="shared" si="86"/>
        <v>0.67008071249652101</v>
      </c>
    </row>
    <row r="369" spans="1:8" ht="16.5" customHeight="1">
      <c r="A369" s="1913"/>
      <c r="B369" s="1942" t="s">
        <v>252</v>
      </c>
      <c r="C369" s="1955"/>
      <c r="D369" s="895"/>
      <c r="E369" s="597">
        <v>0</v>
      </c>
      <c r="F369" s="597">
        <v>0</v>
      </c>
      <c r="G369" s="597">
        <v>0</v>
      </c>
      <c r="H369" s="598"/>
    </row>
    <row r="370" spans="1:8" s="887" customFormat="1" ht="15.75" thickBot="1">
      <c r="A370" s="1913"/>
      <c r="B370" s="901">
        <v>80147</v>
      </c>
      <c r="C370" s="902" t="s">
        <v>464</v>
      </c>
      <c r="D370" s="903"/>
      <c r="E370" s="616">
        <f>SUM(E371,E378)</f>
        <v>30890</v>
      </c>
      <c r="F370" s="616">
        <f t="shared" ref="F370:G370" si="87">SUM(F371,F378)</f>
        <v>122890</v>
      </c>
      <c r="G370" s="616">
        <f t="shared" si="87"/>
        <v>117251</v>
      </c>
      <c r="H370" s="617">
        <f t="shared" si="86"/>
        <v>0.95411343477907073</v>
      </c>
    </row>
    <row r="371" spans="1:8" ht="18" customHeight="1">
      <c r="A371" s="1913"/>
      <c r="B371" s="1940" t="s">
        <v>247</v>
      </c>
      <c r="C371" s="1921"/>
      <c r="D371" s="860"/>
      <c r="E371" s="560">
        <f>SUM(E372:E377)</f>
        <v>30890</v>
      </c>
      <c r="F371" s="560">
        <f t="shared" ref="F371:G371" si="88">SUM(F372:F377)</f>
        <v>122890</v>
      </c>
      <c r="G371" s="560">
        <f t="shared" si="88"/>
        <v>117251</v>
      </c>
      <c r="H371" s="561">
        <f t="shared" si="86"/>
        <v>0.95411343477907073</v>
      </c>
    </row>
    <row r="372" spans="1:8" ht="16.5" customHeight="1">
      <c r="A372" s="1913"/>
      <c r="B372" s="1929"/>
      <c r="C372" s="1965" t="s">
        <v>465</v>
      </c>
      <c r="D372" s="706" t="s">
        <v>250</v>
      </c>
      <c r="E372" s="624">
        <v>4000</v>
      </c>
      <c r="F372" s="624">
        <v>4000</v>
      </c>
      <c r="G372" s="624">
        <v>3978</v>
      </c>
      <c r="H372" s="637">
        <f t="shared" si="86"/>
        <v>0.99450000000000005</v>
      </c>
    </row>
    <row r="373" spans="1:8" ht="17.25" customHeight="1">
      <c r="A373" s="1913"/>
      <c r="B373" s="1935"/>
      <c r="C373" s="1972"/>
      <c r="D373" s="706" t="s">
        <v>251</v>
      </c>
      <c r="E373" s="624">
        <v>500</v>
      </c>
      <c r="F373" s="624">
        <v>500</v>
      </c>
      <c r="G373" s="624">
        <v>350</v>
      </c>
      <c r="H373" s="637">
        <f t="shared" si="86"/>
        <v>0.7</v>
      </c>
    </row>
    <row r="374" spans="1:8" ht="17.25" customHeight="1">
      <c r="A374" s="1913"/>
      <c r="B374" s="1935"/>
      <c r="C374" s="1972"/>
      <c r="D374" s="706" t="s">
        <v>191</v>
      </c>
      <c r="E374" s="624">
        <v>0</v>
      </c>
      <c r="F374" s="624">
        <v>0</v>
      </c>
      <c r="G374" s="624">
        <v>176</v>
      </c>
      <c r="H374" s="637"/>
    </row>
    <row r="375" spans="1:8" ht="15" customHeight="1">
      <c r="A375" s="1913"/>
      <c r="B375" s="1935"/>
      <c r="C375" s="1966"/>
      <c r="D375" s="706" t="s">
        <v>174</v>
      </c>
      <c r="E375" s="565">
        <v>26390</v>
      </c>
      <c r="F375" s="565">
        <v>26390</v>
      </c>
      <c r="G375" s="565">
        <v>20179</v>
      </c>
      <c r="H375" s="564">
        <f t="shared" si="86"/>
        <v>0.7646456991284577</v>
      </c>
    </row>
    <row r="376" spans="1:8" ht="27.75" customHeight="1">
      <c r="A376" s="1913"/>
      <c r="B376" s="904"/>
      <c r="C376" s="905" t="s">
        <v>379</v>
      </c>
      <c r="D376" s="753" t="s">
        <v>322</v>
      </c>
      <c r="E376" s="624">
        <v>0</v>
      </c>
      <c r="F376" s="624">
        <v>92000</v>
      </c>
      <c r="G376" s="624">
        <v>92000</v>
      </c>
      <c r="H376" s="637">
        <f t="shared" si="86"/>
        <v>1</v>
      </c>
    </row>
    <row r="377" spans="1:8" ht="32.25" customHeight="1">
      <c r="A377" s="1913"/>
      <c r="B377" s="906"/>
      <c r="C377" s="745" t="s">
        <v>466</v>
      </c>
      <c r="D377" s="753" t="s">
        <v>451</v>
      </c>
      <c r="E377" s="624">
        <v>0</v>
      </c>
      <c r="F377" s="624">
        <v>0</v>
      </c>
      <c r="G377" s="624">
        <v>568</v>
      </c>
      <c r="H377" s="637"/>
    </row>
    <row r="378" spans="1:8" ht="15.75" thickBot="1">
      <c r="A378" s="1913"/>
      <c r="B378" s="1936" t="s">
        <v>252</v>
      </c>
      <c r="C378" s="1931"/>
      <c r="D378" s="907"/>
      <c r="E378" s="569">
        <v>0</v>
      </c>
      <c r="F378" s="569">
        <v>0</v>
      </c>
      <c r="G378" s="569">
        <v>0</v>
      </c>
      <c r="H378" s="570"/>
    </row>
    <row r="379" spans="1:8" ht="39" thickBot="1">
      <c r="A379" s="908"/>
      <c r="B379" s="884">
        <v>80153</v>
      </c>
      <c r="C379" s="885" t="s">
        <v>467</v>
      </c>
      <c r="D379" s="886"/>
      <c r="E379" s="557">
        <f>E380+E382</f>
        <v>0</v>
      </c>
      <c r="F379" s="557">
        <f t="shared" ref="F379:G379" si="89">F380+F382</f>
        <v>12619</v>
      </c>
      <c r="G379" s="557">
        <f t="shared" si="89"/>
        <v>12447</v>
      </c>
      <c r="H379" s="558">
        <f>G379/F379</f>
        <v>0.98636975988588638</v>
      </c>
    </row>
    <row r="380" spans="1:8">
      <c r="A380" s="908"/>
      <c r="B380" s="1940" t="s">
        <v>247</v>
      </c>
      <c r="C380" s="1940"/>
      <c r="D380" s="870"/>
      <c r="E380" s="586">
        <f>SUM(E381:E381)</f>
        <v>0</v>
      </c>
      <c r="F380" s="586">
        <f t="shared" ref="F380:G380" si="90">SUM(F381:F381)</f>
        <v>12619</v>
      </c>
      <c r="G380" s="586">
        <f t="shared" si="90"/>
        <v>12447</v>
      </c>
      <c r="H380" s="587">
        <f>G380/F380</f>
        <v>0.98636975988588638</v>
      </c>
    </row>
    <row r="381" spans="1:8" ht="38.25">
      <c r="A381" s="908"/>
      <c r="B381" s="891"/>
      <c r="C381" s="909" t="s">
        <v>262</v>
      </c>
      <c r="D381" s="893">
        <v>2210</v>
      </c>
      <c r="E381" s="589">
        <v>0</v>
      </c>
      <c r="F381" s="589">
        <v>12619</v>
      </c>
      <c r="G381" s="589">
        <v>12447</v>
      </c>
      <c r="H381" s="590">
        <f>G381/F381</f>
        <v>0.98636975988588638</v>
      </c>
    </row>
    <row r="382" spans="1:8" ht="15.75" thickBot="1">
      <c r="A382" s="908"/>
      <c r="B382" s="1921" t="s">
        <v>252</v>
      </c>
      <c r="C382" s="1920"/>
      <c r="D382" s="894"/>
      <c r="E382" s="575">
        <v>0</v>
      </c>
      <c r="F382" s="575">
        <v>0</v>
      </c>
      <c r="G382" s="575">
        <v>0</v>
      </c>
      <c r="H382" s="576"/>
    </row>
    <row r="383" spans="1:8" ht="15.75" thickBot="1">
      <c r="A383" s="908"/>
      <c r="B383" s="884">
        <v>80195</v>
      </c>
      <c r="C383" s="885" t="s">
        <v>11</v>
      </c>
      <c r="D383" s="886"/>
      <c r="E383" s="557">
        <f>SUM(E384,E394)</f>
        <v>0</v>
      </c>
      <c r="F383" s="557">
        <f>SUM(F384,F394)</f>
        <v>1689617</v>
      </c>
      <c r="G383" s="557">
        <f>SUM(G384,G394)</f>
        <v>1743704</v>
      </c>
      <c r="H383" s="558">
        <f t="shared" si="86"/>
        <v>1.0320113966656348</v>
      </c>
    </row>
    <row r="384" spans="1:8">
      <c r="A384" s="908"/>
      <c r="B384" s="1940" t="s">
        <v>247</v>
      </c>
      <c r="C384" s="1921"/>
      <c r="D384" s="860"/>
      <c r="E384" s="560">
        <f>SUM(E385:E393)</f>
        <v>0</v>
      </c>
      <c r="F384" s="560">
        <f t="shared" ref="F384:G384" si="91">SUM(F385:F393)</f>
        <v>1668152</v>
      </c>
      <c r="G384" s="560">
        <f t="shared" si="91"/>
        <v>1721455</v>
      </c>
      <c r="H384" s="561">
        <f t="shared" si="86"/>
        <v>1.0319533231983655</v>
      </c>
    </row>
    <row r="385" spans="1:8">
      <c r="A385" s="908"/>
      <c r="B385" s="1929"/>
      <c r="C385" s="1965" t="s">
        <v>465</v>
      </c>
      <c r="D385" s="706" t="s">
        <v>313</v>
      </c>
      <c r="E385" s="624">
        <v>0</v>
      </c>
      <c r="F385" s="624">
        <v>0</v>
      </c>
      <c r="G385" s="624">
        <v>661</v>
      </c>
      <c r="H385" s="637"/>
    </row>
    <row r="386" spans="1:8">
      <c r="A386" s="908"/>
      <c r="B386" s="1935"/>
      <c r="C386" s="1966"/>
      <c r="D386" s="706" t="s">
        <v>174</v>
      </c>
      <c r="E386" s="624">
        <v>0</v>
      </c>
      <c r="F386" s="624">
        <v>0</v>
      </c>
      <c r="G386" s="624">
        <v>1200</v>
      </c>
      <c r="H386" s="637"/>
    </row>
    <row r="387" spans="1:8" ht="25.5">
      <c r="A387" s="908"/>
      <c r="B387" s="1935"/>
      <c r="C387" s="591" t="s">
        <v>468</v>
      </c>
      <c r="D387" s="706" t="s">
        <v>469</v>
      </c>
      <c r="E387" s="624">
        <v>0</v>
      </c>
      <c r="F387" s="624">
        <v>28279</v>
      </c>
      <c r="G387" s="624">
        <v>27491</v>
      </c>
      <c r="H387" s="637">
        <f t="shared" si="86"/>
        <v>0.9721347996746702</v>
      </c>
    </row>
    <row r="388" spans="1:8" ht="43.5" customHeight="1">
      <c r="A388" s="908"/>
      <c r="B388" s="1935"/>
      <c r="C388" s="591" t="s">
        <v>470</v>
      </c>
      <c r="D388" s="1967" t="s">
        <v>471</v>
      </c>
      <c r="E388" s="565">
        <v>0</v>
      </c>
      <c r="F388" s="565">
        <v>19538</v>
      </c>
      <c r="G388" s="563">
        <v>19439</v>
      </c>
      <c r="H388" s="564">
        <f t="shared" si="86"/>
        <v>0.99493295117207492</v>
      </c>
    </row>
    <row r="389" spans="1:8" ht="43.5" customHeight="1">
      <c r="A389" s="908"/>
      <c r="B389" s="1935"/>
      <c r="C389" s="591" t="s">
        <v>472</v>
      </c>
      <c r="D389" s="1968"/>
      <c r="E389" s="565">
        <v>0</v>
      </c>
      <c r="F389" s="565">
        <v>57820</v>
      </c>
      <c r="G389" s="563">
        <v>96729</v>
      </c>
      <c r="H389" s="564">
        <f t="shared" si="86"/>
        <v>1.6729332410930473</v>
      </c>
    </row>
    <row r="390" spans="1:8" ht="53.25" customHeight="1">
      <c r="A390" s="908"/>
      <c r="B390" s="1935"/>
      <c r="C390" s="599" t="s">
        <v>473</v>
      </c>
      <c r="D390" s="753" t="s">
        <v>160</v>
      </c>
      <c r="E390" s="624">
        <v>0</v>
      </c>
      <c r="F390" s="624">
        <v>0</v>
      </c>
      <c r="G390" s="624">
        <v>4785</v>
      </c>
      <c r="H390" s="637"/>
    </row>
    <row r="391" spans="1:8" ht="51">
      <c r="A391" s="908"/>
      <c r="B391" s="1935"/>
      <c r="C391" s="910" t="s">
        <v>296</v>
      </c>
      <c r="D391" s="753" t="s">
        <v>474</v>
      </c>
      <c r="E391" s="624">
        <v>0</v>
      </c>
      <c r="F391" s="624">
        <v>454</v>
      </c>
      <c r="G391" s="624">
        <v>893</v>
      </c>
      <c r="H391" s="637">
        <f t="shared" si="86"/>
        <v>1.9669603524229076</v>
      </c>
    </row>
    <row r="392" spans="1:8">
      <c r="A392" s="908"/>
      <c r="B392" s="1935"/>
      <c r="C392" s="591" t="s">
        <v>475</v>
      </c>
      <c r="D392" s="753" t="s">
        <v>307</v>
      </c>
      <c r="E392" s="624">
        <v>0</v>
      </c>
      <c r="F392" s="624">
        <v>0</v>
      </c>
      <c r="G392" s="624">
        <v>1</v>
      </c>
      <c r="H392" s="637"/>
    </row>
    <row r="393" spans="1:8" ht="38.25">
      <c r="A393" s="908"/>
      <c r="B393" s="1930"/>
      <c r="C393" s="911" t="s">
        <v>298</v>
      </c>
      <c r="D393" s="753" t="s">
        <v>476</v>
      </c>
      <c r="E393" s="624">
        <v>0</v>
      </c>
      <c r="F393" s="624">
        <v>1562061</v>
      </c>
      <c r="G393" s="624">
        <v>1570256</v>
      </c>
      <c r="H393" s="637">
        <f t="shared" si="86"/>
        <v>1.0052462739931411</v>
      </c>
    </row>
    <row r="394" spans="1:8">
      <c r="A394" s="908"/>
      <c r="B394" s="1933" t="s">
        <v>257</v>
      </c>
      <c r="C394" s="1920"/>
      <c r="D394" s="912"/>
      <c r="E394" s="769">
        <f>E395</f>
        <v>0</v>
      </c>
      <c r="F394" s="769">
        <f t="shared" ref="F394:G394" si="92">F395</f>
        <v>21465</v>
      </c>
      <c r="G394" s="769">
        <f t="shared" si="92"/>
        <v>22249</v>
      </c>
      <c r="H394" s="770">
        <f t="shared" si="86"/>
        <v>1.0365245748893548</v>
      </c>
    </row>
    <row r="395" spans="1:8" ht="39" thickBot="1">
      <c r="A395" s="908"/>
      <c r="B395" s="913"/>
      <c r="C395" s="914" t="s">
        <v>298</v>
      </c>
      <c r="D395" s="915" t="s">
        <v>477</v>
      </c>
      <c r="E395" s="679">
        <v>0</v>
      </c>
      <c r="F395" s="679">
        <v>21465</v>
      </c>
      <c r="G395" s="679">
        <v>22249</v>
      </c>
      <c r="H395" s="760">
        <f t="shared" si="86"/>
        <v>1.0365245748893548</v>
      </c>
    </row>
    <row r="396" spans="1:8" s="883" customFormat="1" ht="16.5" customHeight="1" thickBot="1">
      <c r="A396" s="834">
        <v>803</v>
      </c>
      <c r="B396" s="881"/>
      <c r="C396" s="836" t="s">
        <v>478</v>
      </c>
      <c r="D396" s="882"/>
      <c r="E396" s="552">
        <f>E397</f>
        <v>0</v>
      </c>
      <c r="F396" s="552">
        <f t="shared" ref="F396:G396" si="93">F397</f>
        <v>6565</v>
      </c>
      <c r="G396" s="552">
        <f t="shared" si="93"/>
        <v>18450</v>
      </c>
      <c r="H396" s="553">
        <f t="shared" si="86"/>
        <v>2.8103579588728103</v>
      </c>
    </row>
    <row r="397" spans="1:8" s="887" customFormat="1" ht="15.75" thickBot="1">
      <c r="A397" s="908"/>
      <c r="B397" s="884">
        <v>80309</v>
      </c>
      <c r="C397" s="885" t="s">
        <v>479</v>
      </c>
      <c r="D397" s="886"/>
      <c r="E397" s="557">
        <f>SUM(E398,E400)</f>
        <v>0</v>
      </c>
      <c r="F397" s="557">
        <f>SUM(F398,F400)</f>
        <v>6565</v>
      </c>
      <c r="G397" s="557">
        <f>SUM(G398,G400)</f>
        <v>18450</v>
      </c>
      <c r="H397" s="558">
        <f t="shared" si="86"/>
        <v>2.8103579588728103</v>
      </c>
    </row>
    <row r="398" spans="1:8">
      <c r="A398" s="908"/>
      <c r="B398" s="1940" t="s">
        <v>247</v>
      </c>
      <c r="C398" s="1940"/>
      <c r="D398" s="870"/>
      <c r="E398" s="560">
        <f>SUM(E399:E399)</f>
        <v>0</v>
      </c>
      <c r="F398" s="560">
        <f>SUM(F399:F399)</f>
        <v>6565</v>
      </c>
      <c r="G398" s="560">
        <f>SUM(G399:G399)</f>
        <v>18450</v>
      </c>
      <c r="H398" s="561">
        <f t="shared" si="86"/>
        <v>2.8103579588728103</v>
      </c>
    </row>
    <row r="399" spans="1:8" ht="30" customHeight="1">
      <c r="A399" s="908"/>
      <c r="B399" s="916"/>
      <c r="C399" s="917" t="s">
        <v>480</v>
      </c>
      <c r="D399" s="706" t="s">
        <v>481</v>
      </c>
      <c r="E399" s="565">
        <v>0</v>
      </c>
      <c r="F399" s="565">
        <v>6565</v>
      </c>
      <c r="G399" s="565">
        <v>18450</v>
      </c>
      <c r="H399" s="564">
        <f t="shared" si="86"/>
        <v>2.8103579588728103</v>
      </c>
    </row>
    <row r="400" spans="1:8" ht="15.75" thickBot="1">
      <c r="A400" s="908"/>
      <c r="B400" s="1920" t="s">
        <v>252</v>
      </c>
      <c r="C400" s="1920"/>
      <c r="D400" s="894"/>
      <c r="E400" s="575">
        <v>0</v>
      </c>
      <c r="F400" s="575">
        <v>0</v>
      </c>
      <c r="G400" s="575">
        <v>0</v>
      </c>
      <c r="H400" s="576"/>
    </row>
    <row r="401" spans="1:8" s="883" customFormat="1" ht="14.25" customHeight="1" thickBot="1">
      <c r="A401" s="834">
        <v>851</v>
      </c>
      <c r="B401" s="881"/>
      <c r="C401" s="836" t="s">
        <v>120</v>
      </c>
      <c r="D401" s="882"/>
      <c r="E401" s="661">
        <f>E402+E411+E415+E422+E426+E431+E436+E440</f>
        <v>97000</v>
      </c>
      <c r="F401" s="661">
        <f>F402+F411+F415+F422+F426+F431+F436+F440</f>
        <v>4022421</v>
      </c>
      <c r="G401" s="661">
        <f>G402+G411+G415+G422+G426+G431+G436+G440</f>
        <v>4013385</v>
      </c>
      <c r="H401" s="662">
        <f t="shared" si="86"/>
        <v>0.99775359168023436</v>
      </c>
    </row>
    <row r="402" spans="1:8" s="883" customFormat="1" ht="14.25" customHeight="1" thickBot="1">
      <c r="A402" s="908"/>
      <c r="B402" s="918">
        <v>85111</v>
      </c>
      <c r="C402" s="839" t="s">
        <v>482</v>
      </c>
      <c r="D402" s="859"/>
      <c r="E402" s="557">
        <f>E403+E407</f>
        <v>0</v>
      </c>
      <c r="F402" s="557">
        <f t="shared" ref="F402:G402" si="94">SUM(F403,F407)</f>
        <v>2406936</v>
      </c>
      <c r="G402" s="557">
        <f t="shared" si="94"/>
        <v>2422047</v>
      </c>
      <c r="H402" s="558">
        <f>G402/F402</f>
        <v>1.0062781062728714</v>
      </c>
    </row>
    <row r="403" spans="1:8" s="883" customFormat="1" ht="13.5" customHeight="1">
      <c r="A403" s="908"/>
      <c r="B403" s="1932" t="s">
        <v>247</v>
      </c>
      <c r="C403" s="1962"/>
      <c r="D403" s="919"/>
      <c r="E403" s="560">
        <f>SUM(E404,E405,E406)</f>
        <v>0</v>
      </c>
      <c r="F403" s="560">
        <f t="shared" ref="F403" si="95">SUM(F404,F405,F406)</f>
        <v>600</v>
      </c>
      <c r="G403" s="560">
        <f>SUM(G404,G405,G406)</f>
        <v>2880</v>
      </c>
      <c r="H403" s="561">
        <f>G403/F403</f>
        <v>4.8</v>
      </c>
    </row>
    <row r="404" spans="1:8" s="883" customFormat="1" ht="42.75" customHeight="1">
      <c r="A404" s="908"/>
      <c r="B404" s="1944"/>
      <c r="C404" s="920" t="s">
        <v>483</v>
      </c>
      <c r="D404" s="706" t="s">
        <v>313</v>
      </c>
      <c r="E404" s="565">
        <v>0</v>
      </c>
      <c r="F404" s="565">
        <v>0</v>
      </c>
      <c r="G404" s="565">
        <v>194</v>
      </c>
      <c r="H404" s="564"/>
    </row>
    <row r="405" spans="1:8" s="883" customFormat="1" ht="18" customHeight="1">
      <c r="A405" s="908"/>
      <c r="B405" s="1945"/>
      <c r="C405" s="921" t="s">
        <v>475</v>
      </c>
      <c r="D405" s="922">
        <v>2950</v>
      </c>
      <c r="E405" s="565">
        <v>0</v>
      </c>
      <c r="F405" s="565">
        <v>0</v>
      </c>
      <c r="G405" s="565">
        <v>2086</v>
      </c>
      <c r="H405" s="564"/>
    </row>
    <row r="406" spans="1:8" s="883" customFormat="1" ht="42.75" customHeight="1">
      <c r="A406" s="908"/>
      <c r="B406" s="1946"/>
      <c r="C406" s="923" t="s">
        <v>298</v>
      </c>
      <c r="D406" s="924">
        <v>2959</v>
      </c>
      <c r="E406" s="624">
        <v>0</v>
      </c>
      <c r="F406" s="624">
        <v>600</v>
      </c>
      <c r="G406" s="624">
        <v>600</v>
      </c>
      <c r="H406" s="637">
        <f>G406/F406</f>
        <v>1</v>
      </c>
    </row>
    <row r="407" spans="1:8" s="883" customFormat="1" ht="14.25" customHeight="1">
      <c r="A407" s="908"/>
      <c r="B407" s="1933" t="s">
        <v>257</v>
      </c>
      <c r="C407" s="1964"/>
      <c r="D407" s="894"/>
      <c r="E407" s="769">
        <f>E408+E409+E410</f>
        <v>0</v>
      </c>
      <c r="F407" s="769">
        <f t="shared" ref="F407" si="96">F408+F409+F410</f>
        <v>2406336</v>
      </c>
      <c r="G407" s="769">
        <f>G408+G409+G410</f>
        <v>2419167</v>
      </c>
      <c r="H407" s="770">
        <f>G407/F407</f>
        <v>1.0053321730631133</v>
      </c>
    </row>
    <row r="408" spans="1:8" s="883" customFormat="1" ht="30" customHeight="1">
      <c r="A408" s="908"/>
      <c r="B408" s="1929"/>
      <c r="C408" s="925" t="s">
        <v>484</v>
      </c>
      <c r="D408" s="926">
        <v>6530</v>
      </c>
      <c r="E408" s="565">
        <v>0</v>
      </c>
      <c r="F408" s="565">
        <v>544512</v>
      </c>
      <c r="G408" s="565">
        <v>544511</v>
      </c>
      <c r="H408" s="564">
        <f>G408/F408</f>
        <v>0.99999816349318293</v>
      </c>
    </row>
    <row r="409" spans="1:8" s="883" customFormat="1" ht="20.25" customHeight="1">
      <c r="A409" s="908"/>
      <c r="B409" s="1935"/>
      <c r="C409" s="873" t="s">
        <v>485</v>
      </c>
      <c r="D409" s="863">
        <v>6690</v>
      </c>
      <c r="E409" s="927">
        <v>0</v>
      </c>
      <c r="F409" s="563">
        <v>0</v>
      </c>
      <c r="G409" s="563">
        <v>12832</v>
      </c>
      <c r="H409" s="637"/>
    </row>
    <row r="410" spans="1:8" s="883" customFormat="1" ht="43.5" customHeight="1" thickBot="1">
      <c r="A410" s="908"/>
      <c r="B410" s="1956"/>
      <c r="C410" s="928" t="s">
        <v>298</v>
      </c>
      <c r="D410" s="929">
        <v>6699</v>
      </c>
      <c r="E410" s="930">
        <v>0</v>
      </c>
      <c r="F410" s="783">
        <v>1861824</v>
      </c>
      <c r="G410" s="783">
        <v>1861824</v>
      </c>
      <c r="H410" s="637">
        <f t="shared" ref="H410" si="97">G410/F410</f>
        <v>1</v>
      </c>
    </row>
    <row r="411" spans="1:8" s="883" customFormat="1" ht="15.75" customHeight="1" thickBot="1">
      <c r="A411" s="908"/>
      <c r="B411" s="858">
        <v>85121</v>
      </c>
      <c r="C411" s="839" t="s">
        <v>486</v>
      </c>
      <c r="D411" s="859"/>
      <c r="E411" s="557">
        <f>SUM(E412,E413)</f>
        <v>0</v>
      </c>
      <c r="F411" s="557">
        <f t="shared" ref="F411:G411" si="98">SUM(F412,F413)</f>
        <v>0</v>
      </c>
      <c r="G411" s="557">
        <f t="shared" si="98"/>
        <v>16586</v>
      </c>
      <c r="H411" s="558"/>
    </row>
    <row r="412" spans="1:8" s="883" customFormat="1" ht="13.5" customHeight="1">
      <c r="A412" s="908"/>
      <c r="B412" s="1916" t="s">
        <v>309</v>
      </c>
      <c r="C412" s="1963"/>
      <c r="D412" s="860"/>
      <c r="E412" s="560">
        <v>0</v>
      </c>
      <c r="F412" s="560">
        <v>0</v>
      </c>
      <c r="G412" s="560">
        <v>0</v>
      </c>
      <c r="H412" s="561"/>
    </row>
    <row r="413" spans="1:8" s="883" customFormat="1" ht="14.25" customHeight="1">
      <c r="A413" s="908"/>
      <c r="B413" s="1942" t="s">
        <v>257</v>
      </c>
      <c r="C413" s="1955"/>
      <c r="D413" s="931"/>
      <c r="E413" s="597">
        <f>E414</f>
        <v>0</v>
      </c>
      <c r="F413" s="597">
        <f t="shared" ref="F413:G413" si="99">F414</f>
        <v>0</v>
      </c>
      <c r="G413" s="597">
        <f t="shared" si="99"/>
        <v>16586</v>
      </c>
      <c r="H413" s="598"/>
    </row>
    <row r="414" spans="1:8" s="883" customFormat="1" ht="21" customHeight="1" thickBot="1">
      <c r="A414" s="908"/>
      <c r="B414" s="904"/>
      <c r="C414" s="932" t="s">
        <v>485</v>
      </c>
      <c r="D414" s="933">
        <v>6690</v>
      </c>
      <c r="E414" s="565">
        <v>0</v>
      </c>
      <c r="F414" s="565">
        <v>0</v>
      </c>
      <c r="G414" s="565">
        <v>16586</v>
      </c>
      <c r="H414" s="564"/>
    </row>
    <row r="415" spans="1:8" s="883" customFormat="1" ht="15.75" customHeight="1" thickBot="1">
      <c r="A415" s="1913"/>
      <c r="B415" s="858">
        <v>85141</v>
      </c>
      <c r="C415" s="839" t="s">
        <v>487</v>
      </c>
      <c r="D415" s="859"/>
      <c r="E415" s="557">
        <f>SUM(E416,E417)</f>
        <v>40000</v>
      </c>
      <c r="F415" s="557">
        <f t="shared" ref="F415:G415" si="100">SUM(F416,F417)</f>
        <v>1532073</v>
      </c>
      <c r="G415" s="557">
        <f t="shared" si="100"/>
        <v>1514767</v>
      </c>
      <c r="H415" s="558">
        <f t="shared" si="86"/>
        <v>0.98870419359913009</v>
      </c>
    </row>
    <row r="416" spans="1:8" s="883" customFormat="1">
      <c r="A416" s="1913"/>
      <c r="B416" s="1916" t="s">
        <v>309</v>
      </c>
      <c r="C416" s="1963"/>
      <c r="D416" s="860"/>
      <c r="E416" s="560">
        <v>0</v>
      </c>
      <c r="F416" s="560">
        <v>0</v>
      </c>
      <c r="G416" s="560">
        <v>0</v>
      </c>
      <c r="H416" s="561"/>
    </row>
    <row r="417" spans="1:8" s="883" customFormat="1">
      <c r="A417" s="1913"/>
      <c r="B417" s="1933" t="s">
        <v>257</v>
      </c>
      <c r="C417" s="1964"/>
      <c r="D417" s="931"/>
      <c r="E417" s="597">
        <f>SUM(E418,E419,E420,E421)</f>
        <v>40000</v>
      </c>
      <c r="F417" s="597">
        <f t="shared" ref="F417:G417" si="101">SUM(F418,F419,F420,F421)</f>
        <v>1532073</v>
      </c>
      <c r="G417" s="597">
        <f t="shared" si="101"/>
        <v>1514767</v>
      </c>
      <c r="H417" s="598">
        <f t="shared" si="86"/>
        <v>0.98870419359913009</v>
      </c>
    </row>
    <row r="418" spans="1:8" s="747" customFormat="1" ht="37.5" customHeight="1">
      <c r="A418" s="934"/>
      <c r="B418" s="1929"/>
      <c r="C418" s="935" t="s">
        <v>331</v>
      </c>
      <c r="D418" s="936">
        <v>6300</v>
      </c>
      <c r="E418" s="565">
        <v>0</v>
      </c>
      <c r="F418" s="565">
        <v>200000</v>
      </c>
      <c r="G418" s="565">
        <v>200000</v>
      </c>
      <c r="H418" s="564">
        <f t="shared" si="86"/>
        <v>1</v>
      </c>
    </row>
    <row r="419" spans="1:8" s="747" customFormat="1" ht="39.75" customHeight="1">
      <c r="A419" s="934"/>
      <c r="B419" s="1935"/>
      <c r="C419" s="935" t="s">
        <v>488</v>
      </c>
      <c r="D419" s="926">
        <v>6510</v>
      </c>
      <c r="E419" s="565">
        <v>40000</v>
      </c>
      <c r="F419" s="565">
        <v>740000</v>
      </c>
      <c r="G419" s="565">
        <v>721947</v>
      </c>
      <c r="H419" s="564">
        <f t="shared" si="86"/>
        <v>0.97560405405405404</v>
      </c>
    </row>
    <row r="420" spans="1:8" s="747" customFormat="1" ht="25.5" customHeight="1">
      <c r="A420" s="934"/>
      <c r="B420" s="1935"/>
      <c r="C420" s="937" t="s">
        <v>489</v>
      </c>
      <c r="D420" s="938">
        <v>6530</v>
      </c>
      <c r="E420" s="601">
        <v>0</v>
      </c>
      <c r="F420" s="601">
        <v>592073</v>
      </c>
      <c r="G420" s="601">
        <v>592073</v>
      </c>
      <c r="H420" s="564">
        <f t="shared" si="86"/>
        <v>1</v>
      </c>
    </row>
    <row r="421" spans="1:8" s="747" customFormat="1" ht="19.5" customHeight="1" thickBot="1">
      <c r="A421" s="934"/>
      <c r="B421" s="1956"/>
      <c r="C421" s="939" t="s">
        <v>485</v>
      </c>
      <c r="D421" s="940">
        <v>6690</v>
      </c>
      <c r="E421" s="580">
        <v>0</v>
      </c>
      <c r="F421" s="580">
        <v>0</v>
      </c>
      <c r="G421" s="580">
        <v>747</v>
      </c>
      <c r="H421" s="581"/>
    </row>
    <row r="422" spans="1:8" s="747" customFormat="1" ht="21" customHeight="1" thickBot="1">
      <c r="A422" s="934"/>
      <c r="B422" s="918">
        <v>85149</v>
      </c>
      <c r="C422" s="839" t="s">
        <v>490</v>
      </c>
      <c r="D422" s="859"/>
      <c r="E422" s="557">
        <f>SUM(E423,E424)</f>
        <v>0</v>
      </c>
      <c r="F422" s="557">
        <f t="shared" ref="F422:G422" si="102">SUM(F423,F424)</f>
        <v>0</v>
      </c>
      <c r="G422" s="557">
        <f t="shared" si="102"/>
        <v>471</v>
      </c>
      <c r="H422" s="558"/>
    </row>
    <row r="423" spans="1:8" s="747" customFormat="1" ht="17.25" customHeight="1">
      <c r="A423" s="934"/>
      <c r="B423" s="1932" t="s">
        <v>309</v>
      </c>
      <c r="C423" s="1962"/>
      <c r="D423" s="860"/>
      <c r="E423" s="560">
        <v>0</v>
      </c>
      <c r="F423" s="560">
        <v>0</v>
      </c>
      <c r="G423" s="560">
        <v>0</v>
      </c>
      <c r="H423" s="561"/>
    </row>
    <row r="424" spans="1:8" s="747" customFormat="1" ht="14.25" customHeight="1">
      <c r="A424" s="934"/>
      <c r="B424" s="1942" t="s">
        <v>257</v>
      </c>
      <c r="C424" s="1955"/>
      <c r="D424" s="931"/>
      <c r="E424" s="597">
        <f>E425</f>
        <v>0</v>
      </c>
      <c r="F424" s="597">
        <f t="shared" ref="F424:G424" si="103">F425</f>
        <v>0</v>
      </c>
      <c r="G424" s="597">
        <f t="shared" si="103"/>
        <v>471</v>
      </c>
      <c r="H424" s="598"/>
    </row>
    <row r="425" spans="1:8" s="747" customFormat="1" ht="21" customHeight="1" thickBot="1">
      <c r="A425" s="934"/>
      <c r="B425" s="941"/>
      <c r="C425" s="937" t="s">
        <v>485</v>
      </c>
      <c r="D425" s="936">
        <v>6690</v>
      </c>
      <c r="E425" s="601">
        <v>0</v>
      </c>
      <c r="F425" s="601">
        <v>0</v>
      </c>
      <c r="G425" s="601">
        <v>471</v>
      </c>
      <c r="H425" s="602"/>
    </row>
    <row r="426" spans="1:8" s="747" customFormat="1" ht="18" customHeight="1" thickBot="1">
      <c r="A426" s="934"/>
      <c r="B426" s="942">
        <v>85153</v>
      </c>
      <c r="C426" s="885" t="s">
        <v>159</v>
      </c>
      <c r="D426" s="886"/>
      <c r="E426" s="557">
        <f>SUM(E427,E430)</f>
        <v>0</v>
      </c>
      <c r="F426" s="557">
        <f>SUM(F427,F430)</f>
        <v>0</v>
      </c>
      <c r="G426" s="557">
        <f>SUM(G427,G430)</f>
        <v>2309</v>
      </c>
      <c r="H426" s="558"/>
    </row>
    <row r="427" spans="1:8" s="747" customFormat="1" ht="16.5" customHeight="1">
      <c r="A427" s="934"/>
      <c r="B427" s="1932" t="s">
        <v>247</v>
      </c>
      <c r="C427" s="1962"/>
      <c r="D427" s="870"/>
      <c r="E427" s="560">
        <f>SUM(E428:E429)</f>
        <v>0</v>
      </c>
      <c r="F427" s="560">
        <f t="shared" ref="F427:G427" si="104">SUM(F428:F429)</f>
        <v>0</v>
      </c>
      <c r="G427" s="560">
        <f t="shared" si="104"/>
        <v>2309</v>
      </c>
      <c r="H427" s="561"/>
    </row>
    <row r="428" spans="1:8" s="747" customFormat="1" ht="39.75" customHeight="1">
      <c r="A428" s="934"/>
      <c r="B428" s="904"/>
      <c r="C428" s="943" t="s">
        <v>483</v>
      </c>
      <c r="D428" s="706" t="s">
        <v>313</v>
      </c>
      <c r="E428" s="565">
        <v>0</v>
      </c>
      <c r="F428" s="565">
        <v>0</v>
      </c>
      <c r="G428" s="565">
        <v>187</v>
      </c>
      <c r="H428" s="564"/>
    </row>
    <row r="429" spans="1:8" s="747" customFormat="1" ht="41.25" customHeight="1">
      <c r="A429" s="934"/>
      <c r="B429" s="904"/>
      <c r="C429" s="944" t="s">
        <v>491</v>
      </c>
      <c r="D429" s="706" t="s">
        <v>160</v>
      </c>
      <c r="E429" s="565">
        <v>0</v>
      </c>
      <c r="F429" s="565">
        <v>0</v>
      </c>
      <c r="G429" s="565">
        <v>2122</v>
      </c>
      <c r="H429" s="564"/>
    </row>
    <row r="430" spans="1:8" s="747" customFormat="1" ht="15.75" customHeight="1" thickBot="1">
      <c r="A430" s="934"/>
      <c r="B430" s="1936" t="s">
        <v>252</v>
      </c>
      <c r="C430" s="1958"/>
      <c r="D430" s="931"/>
      <c r="E430" s="597">
        <v>0</v>
      </c>
      <c r="F430" s="597">
        <v>0</v>
      </c>
      <c r="G430" s="597">
        <v>0</v>
      </c>
      <c r="H430" s="598"/>
    </row>
    <row r="431" spans="1:8" s="747" customFormat="1" ht="15.75" customHeight="1" thickBot="1">
      <c r="A431" s="934"/>
      <c r="B431" s="942">
        <v>85154</v>
      </c>
      <c r="C431" s="885" t="s">
        <v>492</v>
      </c>
      <c r="D431" s="903"/>
      <c r="E431" s="616">
        <f>SUM(E432,E435)</f>
        <v>0</v>
      </c>
      <c r="F431" s="616">
        <f>SUM(F432,F435)</f>
        <v>0</v>
      </c>
      <c r="G431" s="616">
        <f>SUM(G432,G435)</f>
        <v>2272</v>
      </c>
      <c r="H431" s="617"/>
    </row>
    <row r="432" spans="1:8" s="747" customFormat="1" ht="15.75" customHeight="1">
      <c r="A432" s="934"/>
      <c r="B432" s="1932" t="s">
        <v>247</v>
      </c>
      <c r="C432" s="1962"/>
      <c r="D432" s="870"/>
      <c r="E432" s="560">
        <f>SUM(E433:E434)</f>
        <v>0</v>
      </c>
      <c r="F432" s="560">
        <f t="shared" ref="F432:G432" si="105">SUM(F433:F434)</f>
        <v>0</v>
      </c>
      <c r="G432" s="560">
        <f t="shared" si="105"/>
        <v>2272</v>
      </c>
      <c r="H432" s="561"/>
    </row>
    <row r="433" spans="1:8" s="747" customFormat="1" ht="38.25" customHeight="1">
      <c r="A433" s="934"/>
      <c r="B433" s="904"/>
      <c r="C433" s="943" t="s">
        <v>483</v>
      </c>
      <c r="D433" s="706" t="s">
        <v>313</v>
      </c>
      <c r="E433" s="565">
        <v>0</v>
      </c>
      <c r="F433" s="565">
        <v>0</v>
      </c>
      <c r="G433" s="565">
        <v>191</v>
      </c>
      <c r="H433" s="564"/>
    </row>
    <row r="434" spans="1:8" s="747" customFormat="1" ht="38.25" customHeight="1">
      <c r="A434" s="934"/>
      <c r="B434" s="904"/>
      <c r="C434" s="944" t="s">
        <v>493</v>
      </c>
      <c r="D434" s="706" t="s">
        <v>160</v>
      </c>
      <c r="E434" s="565">
        <v>0</v>
      </c>
      <c r="F434" s="565">
        <v>0</v>
      </c>
      <c r="G434" s="565">
        <v>2081</v>
      </c>
      <c r="H434" s="564"/>
    </row>
    <row r="435" spans="1:8" s="747" customFormat="1" ht="15.75" customHeight="1" thickBot="1">
      <c r="A435" s="934"/>
      <c r="B435" s="1936" t="s">
        <v>252</v>
      </c>
      <c r="C435" s="1958"/>
      <c r="D435" s="894"/>
      <c r="E435" s="575">
        <v>0</v>
      </c>
      <c r="F435" s="575">
        <v>0</v>
      </c>
      <c r="G435" s="575">
        <v>0</v>
      </c>
      <c r="H435" s="576"/>
    </row>
    <row r="436" spans="1:8" s="887" customFormat="1" ht="26.25" thickBot="1">
      <c r="A436" s="1913"/>
      <c r="B436" s="945">
        <v>85156</v>
      </c>
      <c r="C436" s="852" t="s">
        <v>494</v>
      </c>
      <c r="D436" s="859"/>
      <c r="E436" s="557">
        <f t="shared" ref="E436" si="106">SUM(E437,E439)</f>
        <v>27000</v>
      </c>
      <c r="F436" s="557">
        <f>SUM(F437,F439)</f>
        <v>22612</v>
      </c>
      <c r="G436" s="557">
        <f>SUM(G437,G439)</f>
        <v>22333</v>
      </c>
      <c r="H436" s="558">
        <f t="shared" si="86"/>
        <v>0.98766141871572621</v>
      </c>
    </row>
    <row r="437" spans="1:8" ht="12.75" customHeight="1">
      <c r="A437" s="1913"/>
      <c r="B437" s="1932" t="s">
        <v>247</v>
      </c>
      <c r="C437" s="1962"/>
      <c r="D437" s="919"/>
      <c r="E437" s="560">
        <f t="shared" ref="E437:G437" si="107">SUM(E438)</f>
        <v>27000</v>
      </c>
      <c r="F437" s="560">
        <f t="shared" si="107"/>
        <v>22612</v>
      </c>
      <c r="G437" s="560">
        <f t="shared" si="107"/>
        <v>22333</v>
      </c>
      <c r="H437" s="561">
        <f t="shared" si="86"/>
        <v>0.98766141871572621</v>
      </c>
    </row>
    <row r="438" spans="1:8" ht="39.75" customHeight="1">
      <c r="A438" s="1913"/>
      <c r="B438" s="946"/>
      <c r="C438" s="921" t="s">
        <v>262</v>
      </c>
      <c r="D438" s="922">
        <v>2210</v>
      </c>
      <c r="E438" s="565">
        <v>27000</v>
      </c>
      <c r="F438" s="565">
        <v>22612</v>
      </c>
      <c r="G438" s="565">
        <v>22333</v>
      </c>
      <c r="H438" s="564">
        <f t="shared" si="86"/>
        <v>0.98766141871572621</v>
      </c>
    </row>
    <row r="439" spans="1:8" ht="15.75" thickBot="1">
      <c r="A439" s="1913"/>
      <c r="B439" s="1936" t="s">
        <v>252</v>
      </c>
      <c r="C439" s="1958"/>
      <c r="D439" s="890"/>
      <c r="E439" s="569">
        <v>0</v>
      </c>
      <c r="F439" s="569">
        <v>0</v>
      </c>
      <c r="G439" s="569">
        <v>0</v>
      </c>
      <c r="H439" s="570"/>
    </row>
    <row r="440" spans="1:8" s="887" customFormat="1" ht="15.75" thickBot="1">
      <c r="A440" s="908"/>
      <c r="B440" s="858">
        <v>85195</v>
      </c>
      <c r="C440" s="839" t="s">
        <v>11</v>
      </c>
      <c r="D440" s="859"/>
      <c r="E440" s="557">
        <f>SUM(E441,E443)</f>
        <v>30000</v>
      </c>
      <c r="F440" s="557">
        <f>SUM(F441,F443)</f>
        <v>60800</v>
      </c>
      <c r="G440" s="557">
        <f>SUM(G441,G443)</f>
        <v>32600</v>
      </c>
      <c r="H440" s="558">
        <f t="shared" ref="H440:H500" si="108">G440/F440</f>
        <v>0.53618421052631582</v>
      </c>
    </row>
    <row r="441" spans="1:8" ht="12.75" customHeight="1">
      <c r="A441" s="908"/>
      <c r="B441" s="1940" t="s">
        <v>247</v>
      </c>
      <c r="C441" s="1957"/>
      <c r="D441" s="870"/>
      <c r="E441" s="560">
        <f t="shared" ref="E441:G441" si="109">SUM(E442)</f>
        <v>30000</v>
      </c>
      <c r="F441" s="560">
        <f t="shared" si="109"/>
        <v>60800</v>
      </c>
      <c r="G441" s="560">
        <f t="shared" si="109"/>
        <v>32600</v>
      </c>
      <c r="H441" s="561">
        <f t="shared" si="108"/>
        <v>0.53618421052631582</v>
      </c>
    </row>
    <row r="442" spans="1:8" ht="39.75" customHeight="1">
      <c r="A442" s="908"/>
      <c r="B442" s="947"/>
      <c r="C442" s="920" t="s">
        <v>262</v>
      </c>
      <c r="D442" s="922">
        <v>2210</v>
      </c>
      <c r="E442" s="565">
        <v>30000</v>
      </c>
      <c r="F442" s="565">
        <v>60800</v>
      </c>
      <c r="G442" s="565">
        <v>32600</v>
      </c>
      <c r="H442" s="564">
        <f t="shared" si="108"/>
        <v>0.53618421052631582</v>
      </c>
    </row>
    <row r="443" spans="1:8" ht="15.75" thickBot="1">
      <c r="A443" s="948"/>
      <c r="B443" s="1936" t="s">
        <v>252</v>
      </c>
      <c r="C443" s="1958"/>
      <c r="D443" s="890"/>
      <c r="E443" s="569">
        <v>0</v>
      </c>
      <c r="F443" s="569">
        <v>0</v>
      </c>
      <c r="G443" s="569">
        <v>0</v>
      </c>
      <c r="H443" s="570"/>
    </row>
    <row r="444" spans="1:8" s="883" customFormat="1" ht="15.75" thickBot="1">
      <c r="A444" s="834">
        <v>852</v>
      </c>
      <c r="B444" s="881"/>
      <c r="C444" s="836" t="s">
        <v>53</v>
      </c>
      <c r="D444" s="882"/>
      <c r="E444" s="552">
        <f>SUM(E445,E449,E458)</f>
        <v>119265</v>
      </c>
      <c r="F444" s="552">
        <f>SUM(F445,F449,F458)</f>
        <v>4457899</v>
      </c>
      <c r="G444" s="552">
        <f>SUM(G445,G449,G458)</f>
        <v>3928511</v>
      </c>
      <c r="H444" s="553">
        <f t="shared" si="108"/>
        <v>0.8812471973905196</v>
      </c>
    </row>
    <row r="445" spans="1:8" s="883" customFormat="1" ht="15.75" thickBot="1">
      <c r="A445" s="949"/>
      <c r="B445" s="858">
        <v>85205</v>
      </c>
      <c r="C445" s="839" t="s">
        <v>166</v>
      </c>
      <c r="D445" s="859"/>
      <c r="E445" s="557">
        <f>SUM(E448,E446)</f>
        <v>50000</v>
      </c>
      <c r="F445" s="557">
        <f>SUM(F448,F446)</f>
        <v>50000</v>
      </c>
      <c r="G445" s="557">
        <f>SUM(G448,G446)</f>
        <v>50000</v>
      </c>
      <c r="H445" s="558">
        <f t="shared" si="108"/>
        <v>1</v>
      </c>
    </row>
    <row r="446" spans="1:8" s="883" customFormat="1">
      <c r="A446" s="908"/>
      <c r="B446" s="1921" t="s">
        <v>247</v>
      </c>
      <c r="C446" s="1959"/>
      <c r="D446" s="860"/>
      <c r="E446" s="560">
        <f>SUM(E447:E447)</f>
        <v>50000</v>
      </c>
      <c r="F446" s="560">
        <f>SUM(F447:F447)</f>
        <v>50000</v>
      </c>
      <c r="G446" s="560">
        <f>SUM(G447:G447)</f>
        <v>50000</v>
      </c>
      <c r="H446" s="561">
        <f t="shared" si="108"/>
        <v>1</v>
      </c>
    </row>
    <row r="447" spans="1:8" s="883" customFormat="1" ht="25.5">
      <c r="A447" s="908"/>
      <c r="B447" s="950"/>
      <c r="C447" s="951" t="s">
        <v>495</v>
      </c>
      <c r="D447" s="872">
        <v>2230</v>
      </c>
      <c r="E447" s="565">
        <v>50000</v>
      </c>
      <c r="F447" s="565">
        <v>50000</v>
      </c>
      <c r="G447" s="565">
        <v>50000</v>
      </c>
      <c r="H447" s="564">
        <f t="shared" si="108"/>
        <v>1</v>
      </c>
    </row>
    <row r="448" spans="1:8" s="883" customFormat="1" ht="15" customHeight="1">
      <c r="A448" s="908"/>
      <c r="B448" s="1942" t="s">
        <v>252</v>
      </c>
      <c r="C448" s="1955"/>
      <c r="D448" s="931"/>
      <c r="E448" s="597">
        <v>0</v>
      </c>
      <c r="F448" s="597">
        <v>0</v>
      </c>
      <c r="G448" s="597">
        <v>0</v>
      </c>
      <c r="H448" s="598"/>
    </row>
    <row r="449" spans="1:8" s="887" customFormat="1" ht="15.75" customHeight="1" thickBot="1">
      <c r="A449" s="949"/>
      <c r="B449" s="945">
        <v>85217</v>
      </c>
      <c r="C449" s="852" t="s">
        <v>496</v>
      </c>
      <c r="D449" s="952"/>
      <c r="E449" s="616">
        <f>SUM(E450,E457)</f>
        <v>1200</v>
      </c>
      <c r="F449" s="616">
        <f>SUM(F450,F457)</f>
        <v>161770</v>
      </c>
      <c r="G449" s="616">
        <f>SUM(G450,G457)</f>
        <v>404686</v>
      </c>
      <c r="H449" s="617">
        <f t="shared" si="108"/>
        <v>2.5016134017432159</v>
      </c>
    </row>
    <row r="450" spans="1:8" ht="16.5" customHeight="1">
      <c r="A450" s="949"/>
      <c r="B450" s="1960" t="s">
        <v>247</v>
      </c>
      <c r="C450" s="1921"/>
      <c r="D450" s="860"/>
      <c r="E450" s="560">
        <f>SUM(E451:E456)</f>
        <v>1200</v>
      </c>
      <c r="F450" s="560">
        <f t="shared" ref="F450:G450" si="110">SUM(F451:F456)</f>
        <v>161770</v>
      </c>
      <c r="G450" s="560">
        <f t="shared" si="110"/>
        <v>404686</v>
      </c>
      <c r="H450" s="561">
        <f t="shared" si="108"/>
        <v>2.5016134017432159</v>
      </c>
    </row>
    <row r="451" spans="1:8" ht="19.5" customHeight="1">
      <c r="A451" s="949"/>
      <c r="B451" s="1929"/>
      <c r="C451" s="1927" t="s">
        <v>497</v>
      </c>
      <c r="D451" s="953" t="s">
        <v>249</v>
      </c>
      <c r="E451" s="563">
        <v>0</v>
      </c>
      <c r="F451" s="563">
        <v>63943</v>
      </c>
      <c r="G451" s="563">
        <v>348815</v>
      </c>
      <c r="H451" s="633">
        <f t="shared" si="108"/>
        <v>5.4550928170401765</v>
      </c>
    </row>
    <row r="452" spans="1:8" ht="18.75" customHeight="1">
      <c r="A452" s="949"/>
      <c r="B452" s="1935"/>
      <c r="C452" s="1961"/>
      <c r="D452" s="953" t="s">
        <v>250</v>
      </c>
      <c r="E452" s="563">
        <v>0</v>
      </c>
      <c r="F452" s="563">
        <v>96627</v>
      </c>
      <c r="G452" s="563">
        <v>41655</v>
      </c>
      <c r="H452" s="633">
        <f t="shared" si="108"/>
        <v>0.4310906889378745</v>
      </c>
    </row>
    <row r="453" spans="1:8" ht="20.25" customHeight="1">
      <c r="A453" s="949"/>
      <c r="B453" s="1935"/>
      <c r="C453" s="1961"/>
      <c r="D453" s="953" t="s">
        <v>313</v>
      </c>
      <c r="E453" s="563">
        <v>0</v>
      </c>
      <c r="F453" s="563">
        <v>0</v>
      </c>
      <c r="G453" s="563">
        <v>168</v>
      </c>
      <c r="H453" s="633"/>
    </row>
    <row r="454" spans="1:8" ht="17.25" customHeight="1">
      <c r="A454" s="949"/>
      <c r="B454" s="1935"/>
      <c r="C454" s="1961"/>
      <c r="D454" s="953" t="s">
        <v>256</v>
      </c>
      <c r="E454" s="589">
        <v>0</v>
      </c>
      <c r="F454" s="589">
        <v>0</v>
      </c>
      <c r="G454" s="589">
        <v>21</v>
      </c>
      <c r="H454" s="954"/>
    </row>
    <row r="455" spans="1:8" ht="17.25" customHeight="1">
      <c r="A455" s="949"/>
      <c r="B455" s="1935"/>
      <c r="C455" s="1961"/>
      <c r="D455" s="953" t="s">
        <v>174</v>
      </c>
      <c r="E455" s="563">
        <v>1200</v>
      </c>
      <c r="F455" s="563">
        <v>1200</v>
      </c>
      <c r="G455" s="563">
        <v>7584</v>
      </c>
      <c r="H455" s="633">
        <f t="shared" si="108"/>
        <v>6.32</v>
      </c>
    </row>
    <row r="456" spans="1:8" ht="18" customHeight="1">
      <c r="A456" s="949"/>
      <c r="B456" s="1930"/>
      <c r="C456" s="1928"/>
      <c r="D456" s="953" t="s">
        <v>160</v>
      </c>
      <c r="E456" s="563">
        <v>0</v>
      </c>
      <c r="F456" s="563">
        <v>0</v>
      </c>
      <c r="G456" s="563">
        <v>6443</v>
      </c>
      <c r="H456" s="633"/>
    </row>
    <row r="457" spans="1:8" ht="14.25" customHeight="1" thickBot="1">
      <c r="A457" s="949"/>
      <c r="B457" s="1954" t="s">
        <v>252</v>
      </c>
      <c r="C457" s="1931"/>
      <c r="D457" s="890"/>
      <c r="E457" s="656">
        <v>0</v>
      </c>
      <c r="F457" s="656">
        <v>0</v>
      </c>
      <c r="G457" s="656">
        <v>0</v>
      </c>
      <c r="H457" s="657"/>
    </row>
    <row r="458" spans="1:8" s="887" customFormat="1" ht="16.5" customHeight="1" thickBot="1">
      <c r="A458" s="949"/>
      <c r="B458" s="918">
        <v>85295</v>
      </c>
      <c r="C458" s="839" t="s">
        <v>11</v>
      </c>
      <c r="D458" s="859"/>
      <c r="E458" s="557">
        <f>E459+E467</f>
        <v>68065</v>
      </c>
      <c r="F458" s="557">
        <f>F459+F467</f>
        <v>4246129</v>
      </c>
      <c r="G458" s="557">
        <f>G459+G467</f>
        <v>3473825</v>
      </c>
      <c r="H458" s="558">
        <f t="shared" si="108"/>
        <v>0.81811574730772429</v>
      </c>
    </row>
    <row r="459" spans="1:8" ht="16.5" customHeight="1">
      <c r="A459" s="949"/>
      <c r="B459" s="1947" t="s">
        <v>247</v>
      </c>
      <c r="C459" s="1921"/>
      <c r="D459" s="860"/>
      <c r="E459" s="560">
        <f>SUM(E460:E466)</f>
        <v>68065</v>
      </c>
      <c r="F459" s="560">
        <f>SUM(F460:F466)</f>
        <v>4235102</v>
      </c>
      <c r="G459" s="560">
        <f t="shared" ref="G459" si="111">SUM(G460:G466)</f>
        <v>3440058</v>
      </c>
      <c r="H459" s="561">
        <f t="shared" si="108"/>
        <v>0.8122727622616881</v>
      </c>
    </row>
    <row r="460" spans="1:8" ht="40.5" customHeight="1">
      <c r="A460" s="949"/>
      <c r="B460" s="1929"/>
      <c r="C460" s="898" t="s">
        <v>498</v>
      </c>
      <c r="D460" s="872">
        <v>2007</v>
      </c>
      <c r="E460" s="955">
        <v>0</v>
      </c>
      <c r="F460" s="670">
        <v>2148941</v>
      </c>
      <c r="G460" s="670">
        <v>1642565</v>
      </c>
      <c r="H460" s="671">
        <f t="shared" si="108"/>
        <v>0.76436021277457133</v>
      </c>
    </row>
    <row r="461" spans="1:8" ht="42" customHeight="1">
      <c r="A461" s="949"/>
      <c r="B461" s="1935"/>
      <c r="C461" s="873" t="s">
        <v>499</v>
      </c>
      <c r="D461" s="863">
        <v>2009</v>
      </c>
      <c r="E461" s="927">
        <v>0</v>
      </c>
      <c r="F461" s="563">
        <v>400823</v>
      </c>
      <c r="G461" s="563">
        <v>306373</v>
      </c>
      <c r="H461" s="593">
        <f t="shared" si="108"/>
        <v>0.76435982965049409</v>
      </c>
    </row>
    <row r="462" spans="1:8" ht="45" customHeight="1">
      <c r="A462" s="949"/>
      <c r="B462" s="1935"/>
      <c r="C462" s="956" t="s">
        <v>498</v>
      </c>
      <c r="D462" s="957">
        <v>2057</v>
      </c>
      <c r="E462" s="958">
        <v>0</v>
      </c>
      <c r="F462" s="589">
        <v>824932</v>
      </c>
      <c r="G462" s="589">
        <v>638321</v>
      </c>
      <c r="H462" s="590">
        <f t="shared" si="108"/>
        <v>0.77378620298400358</v>
      </c>
    </row>
    <row r="463" spans="1:8" ht="78.75" customHeight="1">
      <c r="A463" s="949"/>
      <c r="B463" s="1935"/>
      <c r="C463" s="898" t="s">
        <v>500</v>
      </c>
      <c r="D463" s="959" t="s">
        <v>384</v>
      </c>
      <c r="E463" s="565">
        <v>68065</v>
      </c>
      <c r="F463" s="565">
        <v>68065</v>
      </c>
      <c r="G463" s="565">
        <v>83843</v>
      </c>
      <c r="H463" s="564">
        <f t="shared" si="108"/>
        <v>1.2318078307500184</v>
      </c>
    </row>
    <row r="464" spans="1:8" ht="36.75" customHeight="1">
      <c r="A464" s="949"/>
      <c r="B464" s="1935"/>
      <c r="C464" s="898" t="s">
        <v>499</v>
      </c>
      <c r="D464" s="959" t="s">
        <v>359</v>
      </c>
      <c r="E464" s="565">
        <v>0</v>
      </c>
      <c r="F464" s="565">
        <v>153867</v>
      </c>
      <c r="G464" s="565">
        <v>119060</v>
      </c>
      <c r="H464" s="564">
        <f t="shared" si="108"/>
        <v>0.77378515211188881</v>
      </c>
    </row>
    <row r="465" spans="1:8" ht="53.25" customHeight="1">
      <c r="A465" s="949"/>
      <c r="B465" s="1935"/>
      <c r="C465" s="943" t="s">
        <v>296</v>
      </c>
      <c r="D465" s="959" t="s">
        <v>474</v>
      </c>
      <c r="E465" s="565">
        <v>0</v>
      </c>
      <c r="F465" s="565">
        <v>689</v>
      </c>
      <c r="G465" s="565">
        <v>689</v>
      </c>
      <c r="H465" s="564">
        <f t="shared" si="108"/>
        <v>1</v>
      </c>
    </row>
    <row r="466" spans="1:8" ht="47.25" customHeight="1">
      <c r="A466" s="949"/>
      <c r="B466" s="1930"/>
      <c r="C466" s="960" t="s">
        <v>298</v>
      </c>
      <c r="D466" s="961" t="s">
        <v>476</v>
      </c>
      <c r="E466" s="601">
        <v>0</v>
      </c>
      <c r="F466" s="601">
        <v>637785</v>
      </c>
      <c r="G466" s="601">
        <v>649207</v>
      </c>
      <c r="H466" s="602">
        <f t="shared" si="108"/>
        <v>1.0179088564328105</v>
      </c>
    </row>
    <row r="467" spans="1:8" ht="14.25" customHeight="1">
      <c r="A467" s="949"/>
      <c r="B467" s="1942" t="s">
        <v>257</v>
      </c>
      <c r="C467" s="1955"/>
      <c r="D467" s="877"/>
      <c r="E467" s="597">
        <f>E468+E469</f>
        <v>0</v>
      </c>
      <c r="F467" s="597">
        <f>F468+F469</f>
        <v>11027</v>
      </c>
      <c r="G467" s="597">
        <f t="shared" ref="G467" si="112">G468+G469</f>
        <v>33767</v>
      </c>
      <c r="H467" s="598">
        <f t="shared" si="108"/>
        <v>3.0622109367915118</v>
      </c>
    </row>
    <row r="468" spans="1:8" ht="55.5" customHeight="1">
      <c r="A468" s="949"/>
      <c r="B468" s="1935"/>
      <c r="C468" s="962" t="s">
        <v>296</v>
      </c>
      <c r="D468" s="957">
        <v>6669</v>
      </c>
      <c r="E468" s="958">
        <v>0</v>
      </c>
      <c r="F468" s="589">
        <v>195</v>
      </c>
      <c r="G468" s="589">
        <v>194</v>
      </c>
      <c r="H468" s="590">
        <f t="shared" si="108"/>
        <v>0.99487179487179489</v>
      </c>
    </row>
    <row r="469" spans="1:8" ht="48.75" customHeight="1" thickBot="1">
      <c r="A469" s="949"/>
      <c r="B469" s="1956"/>
      <c r="C469" s="928" t="s">
        <v>501</v>
      </c>
      <c r="D469" s="929">
        <v>6699</v>
      </c>
      <c r="E469" s="963">
        <v>0</v>
      </c>
      <c r="F469" s="964">
        <v>10832</v>
      </c>
      <c r="G469" s="964">
        <v>33573</v>
      </c>
      <c r="H469" s="965">
        <f t="shared" si="108"/>
        <v>3.0994276218611523</v>
      </c>
    </row>
    <row r="470" spans="1:8" s="883" customFormat="1" ht="15.75" thickBot="1">
      <c r="A470" s="834">
        <v>853</v>
      </c>
      <c r="B470" s="881"/>
      <c r="C470" s="836" t="s">
        <v>502</v>
      </c>
      <c r="D470" s="882"/>
      <c r="E470" s="661">
        <f>SUM(E471,E475,E490)</f>
        <v>6985648</v>
      </c>
      <c r="F470" s="661">
        <f t="shared" ref="F470:G470" si="113">SUM(F471,F475,F490)</f>
        <v>9087276</v>
      </c>
      <c r="G470" s="661">
        <f t="shared" si="113"/>
        <v>7613903</v>
      </c>
      <c r="H470" s="662">
        <f t="shared" si="108"/>
        <v>0.83786417403851277</v>
      </c>
    </row>
    <row r="471" spans="1:8" ht="15.75" thickBot="1">
      <c r="A471" s="949"/>
      <c r="B471" s="858">
        <v>85324</v>
      </c>
      <c r="C471" s="859" t="s">
        <v>503</v>
      </c>
      <c r="D471" s="886"/>
      <c r="E471" s="557">
        <f t="shared" ref="E471:G471" si="114">E472+E474</f>
        <v>261436</v>
      </c>
      <c r="F471" s="557">
        <f t="shared" si="114"/>
        <v>261436</v>
      </c>
      <c r="G471" s="557">
        <f t="shared" si="114"/>
        <v>267884</v>
      </c>
      <c r="H471" s="558">
        <f t="shared" si="108"/>
        <v>1.0246637800455944</v>
      </c>
    </row>
    <row r="472" spans="1:8">
      <c r="A472" s="949"/>
      <c r="B472" s="1940" t="s">
        <v>247</v>
      </c>
      <c r="C472" s="1940"/>
      <c r="D472" s="870"/>
      <c r="E472" s="560">
        <f t="shared" ref="E472:G472" si="115">E473</f>
        <v>261436</v>
      </c>
      <c r="F472" s="560">
        <f t="shared" si="115"/>
        <v>261436</v>
      </c>
      <c r="G472" s="560">
        <f t="shared" si="115"/>
        <v>267884</v>
      </c>
      <c r="H472" s="561">
        <f t="shared" si="108"/>
        <v>1.0246637800455944</v>
      </c>
    </row>
    <row r="473" spans="1:8" ht="27" customHeight="1">
      <c r="A473" s="949"/>
      <c r="B473" s="966"/>
      <c r="C473" s="967" t="s">
        <v>504</v>
      </c>
      <c r="D473" s="968" t="s">
        <v>174</v>
      </c>
      <c r="E473" s="565">
        <v>261436</v>
      </c>
      <c r="F473" s="565">
        <v>261436</v>
      </c>
      <c r="G473" s="565">
        <v>267884</v>
      </c>
      <c r="H473" s="564">
        <f t="shared" si="108"/>
        <v>1.0246637800455944</v>
      </c>
    </row>
    <row r="474" spans="1:8" ht="15.75" thickBot="1">
      <c r="A474" s="949"/>
      <c r="B474" s="1936" t="s">
        <v>252</v>
      </c>
      <c r="C474" s="1931"/>
      <c r="D474" s="890"/>
      <c r="E474" s="569">
        <v>0</v>
      </c>
      <c r="F474" s="569">
        <v>0</v>
      </c>
      <c r="G474" s="569">
        <v>0</v>
      </c>
      <c r="H474" s="570"/>
    </row>
    <row r="475" spans="1:8" s="887" customFormat="1" ht="15.75" thickBot="1">
      <c r="A475" s="1953"/>
      <c r="B475" s="858">
        <v>85332</v>
      </c>
      <c r="C475" s="839" t="s">
        <v>505</v>
      </c>
      <c r="D475" s="859"/>
      <c r="E475" s="557">
        <f>SUM(E476,E488)</f>
        <v>6724212</v>
      </c>
      <c r="F475" s="557">
        <f t="shared" ref="F475:G475" si="116">SUM(F476,F488)</f>
        <v>7724612</v>
      </c>
      <c r="G475" s="557">
        <f t="shared" si="116"/>
        <v>6251714</v>
      </c>
      <c r="H475" s="558">
        <f t="shared" si="108"/>
        <v>0.80932401523856479</v>
      </c>
    </row>
    <row r="476" spans="1:8">
      <c r="A476" s="1953"/>
      <c r="B476" s="1950" t="s">
        <v>247</v>
      </c>
      <c r="C476" s="1915"/>
      <c r="D476" s="919"/>
      <c r="E476" s="586">
        <f>SUM(E477:E487)</f>
        <v>6724212</v>
      </c>
      <c r="F476" s="586">
        <f t="shared" ref="F476:G476" si="117">SUM(F477:F487)</f>
        <v>7707756</v>
      </c>
      <c r="G476" s="586">
        <f t="shared" si="117"/>
        <v>6243644</v>
      </c>
      <c r="H476" s="587">
        <f t="shared" si="108"/>
        <v>0.81004691897356373</v>
      </c>
    </row>
    <row r="477" spans="1:8">
      <c r="A477" s="1953"/>
      <c r="B477" s="1929"/>
      <c r="C477" s="1937" t="s">
        <v>419</v>
      </c>
      <c r="D477" s="969" t="s">
        <v>320</v>
      </c>
      <c r="E477" s="670">
        <v>0</v>
      </c>
      <c r="F477" s="670">
        <v>0</v>
      </c>
      <c r="G477" s="670">
        <v>23</v>
      </c>
      <c r="H477" s="671"/>
    </row>
    <row r="478" spans="1:8">
      <c r="A478" s="1953"/>
      <c r="B478" s="1935"/>
      <c r="C478" s="1938"/>
      <c r="D478" s="969" t="s">
        <v>250</v>
      </c>
      <c r="E478" s="670">
        <v>0</v>
      </c>
      <c r="F478" s="670">
        <v>0</v>
      </c>
      <c r="G478" s="670">
        <v>14414</v>
      </c>
      <c r="H478" s="671"/>
    </row>
    <row r="479" spans="1:8">
      <c r="A479" s="1953"/>
      <c r="B479" s="1935"/>
      <c r="C479" s="1938"/>
      <c r="D479" s="969" t="s">
        <v>256</v>
      </c>
      <c r="E479" s="563">
        <v>0</v>
      </c>
      <c r="F479" s="563">
        <v>0</v>
      </c>
      <c r="G479" s="563">
        <v>15</v>
      </c>
      <c r="H479" s="593"/>
    </row>
    <row r="480" spans="1:8">
      <c r="A480" s="1953"/>
      <c r="B480" s="1935"/>
      <c r="C480" s="1938"/>
      <c r="D480" s="969" t="s">
        <v>251</v>
      </c>
      <c r="E480" s="670">
        <v>0</v>
      </c>
      <c r="F480" s="670">
        <v>0</v>
      </c>
      <c r="G480" s="670">
        <v>4400</v>
      </c>
      <c r="H480" s="671"/>
    </row>
    <row r="481" spans="1:8">
      <c r="A481" s="1953"/>
      <c r="B481" s="1935"/>
      <c r="C481" s="1938"/>
      <c r="D481" s="969" t="s">
        <v>191</v>
      </c>
      <c r="E481" s="670">
        <v>0</v>
      </c>
      <c r="F481" s="670">
        <v>0</v>
      </c>
      <c r="G481" s="670">
        <v>8023</v>
      </c>
      <c r="H481" s="671"/>
    </row>
    <row r="482" spans="1:8">
      <c r="A482" s="1953"/>
      <c r="B482" s="1935"/>
      <c r="C482" s="1938"/>
      <c r="D482" s="969" t="s">
        <v>506</v>
      </c>
      <c r="E482" s="563">
        <v>0</v>
      </c>
      <c r="F482" s="563">
        <v>0</v>
      </c>
      <c r="G482" s="563">
        <v>21377</v>
      </c>
      <c r="H482" s="593"/>
    </row>
    <row r="483" spans="1:8" ht="15" customHeight="1">
      <c r="A483" s="1953"/>
      <c r="B483" s="1935"/>
      <c r="C483" s="1939"/>
      <c r="D483" s="969" t="s">
        <v>174</v>
      </c>
      <c r="E483" s="601">
        <v>9408</v>
      </c>
      <c r="F483" s="601">
        <v>9408</v>
      </c>
      <c r="G483" s="601">
        <v>9842</v>
      </c>
      <c r="H483" s="602">
        <f t="shared" si="108"/>
        <v>1.0461309523809523</v>
      </c>
    </row>
    <row r="484" spans="1:8" ht="36.75" customHeight="1">
      <c r="A484" s="1953"/>
      <c r="B484" s="1935"/>
      <c r="C484" s="865" t="s">
        <v>507</v>
      </c>
      <c r="D484" s="897" t="s">
        <v>508</v>
      </c>
      <c r="E484" s="565">
        <v>1461000</v>
      </c>
      <c r="F484" s="565">
        <v>2376000</v>
      </c>
      <c r="G484" s="565">
        <v>1844626</v>
      </c>
      <c r="H484" s="564">
        <f t="shared" si="108"/>
        <v>0.77635774410774416</v>
      </c>
    </row>
    <row r="485" spans="1:8" ht="39.75" customHeight="1">
      <c r="A485" s="1953"/>
      <c r="B485" s="1935"/>
      <c r="C485" s="865" t="s">
        <v>509</v>
      </c>
      <c r="D485" s="959" t="s">
        <v>384</v>
      </c>
      <c r="E485" s="565">
        <v>4109804</v>
      </c>
      <c r="F485" s="565">
        <v>4092948</v>
      </c>
      <c r="G485" s="565">
        <v>3178991</v>
      </c>
      <c r="H485" s="564">
        <f t="shared" si="108"/>
        <v>0.77669958181731114</v>
      </c>
    </row>
    <row r="486" spans="1:8" ht="40.5" customHeight="1">
      <c r="A486" s="1953"/>
      <c r="B486" s="1935"/>
      <c r="C486" s="843" t="s">
        <v>262</v>
      </c>
      <c r="D486" s="970" t="s">
        <v>360</v>
      </c>
      <c r="E486" s="624">
        <v>2000</v>
      </c>
      <c r="F486" s="624">
        <v>0</v>
      </c>
      <c r="G486" s="624">
        <v>0</v>
      </c>
      <c r="H486" s="637"/>
    </row>
    <row r="487" spans="1:8" ht="24" customHeight="1">
      <c r="A487" s="1953"/>
      <c r="B487" s="1930"/>
      <c r="C487" s="865" t="s">
        <v>510</v>
      </c>
      <c r="D487" s="959" t="s">
        <v>305</v>
      </c>
      <c r="E487" s="565">
        <v>1142000</v>
      </c>
      <c r="F487" s="565">
        <v>1229400</v>
      </c>
      <c r="G487" s="565">
        <v>1161933</v>
      </c>
      <c r="H487" s="564">
        <f t="shared" si="108"/>
        <v>0.94512201073694491</v>
      </c>
    </row>
    <row r="488" spans="1:8">
      <c r="A488" s="1953"/>
      <c r="B488" s="1933" t="s">
        <v>257</v>
      </c>
      <c r="C488" s="1920"/>
      <c r="D488" s="894"/>
      <c r="E488" s="769">
        <f>E489</f>
        <v>0</v>
      </c>
      <c r="F488" s="769">
        <f t="shared" ref="F488:G488" si="118">F489</f>
        <v>16856</v>
      </c>
      <c r="G488" s="769">
        <f t="shared" si="118"/>
        <v>8070</v>
      </c>
      <c r="H488" s="770">
        <f t="shared" si="108"/>
        <v>0.47876127195064072</v>
      </c>
    </row>
    <row r="489" spans="1:8" ht="42.75" customHeight="1" thickBot="1">
      <c r="A489" s="971"/>
      <c r="B489" s="913"/>
      <c r="C489" s="972" t="s">
        <v>509</v>
      </c>
      <c r="D489" s="973">
        <v>6258</v>
      </c>
      <c r="E489" s="759">
        <v>0</v>
      </c>
      <c r="F489" s="679">
        <v>16856</v>
      </c>
      <c r="G489" s="679">
        <v>8070</v>
      </c>
      <c r="H489" s="680">
        <f t="shared" si="108"/>
        <v>0.47876127195064072</v>
      </c>
    </row>
    <row r="490" spans="1:8" ht="18.75" customHeight="1" thickBot="1">
      <c r="A490" s="971"/>
      <c r="B490" s="858">
        <v>85395</v>
      </c>
      <c r="C490" s="839" t="s">
        <v>11</v>
      </c>
      <c r="D490" s="859"/>
      <c r="E490" s="557">
        <f>SUM(E491+E499)</f>
        <v>0</v>
      </c>
      <c r="F490" s="557">
        <f t="shared" ref="F490:G490" si="119">SUM(F491+F499)</f>
        <v>1101228</v>
      </c>
      <c r="G490" s="557">
        <f t="shared" si="119"/>
        <v>1094305</v>
      </c>
      <c r="H490" s="558">
        <f t="shared" si="108"/>
        <v>0.9937133817883308</v>
      </c>
    </row>
    <row r="491" spans="1:8" ht="15" customHeight="1">
      <c r="A491" s="971"/>
      <c r="B491" s="1950" t="s">
        <v>247</v>
      </c>
      <c r="C491" s="1915"/>
      <c r="D491" s="919"/>
      <c r="E491" s="586">
        <f>SUM(E492:E498)</f>
        <v>0</v>
      </c>
      <c r="F491" s="586">
        <f t="shared" ref="F491:G491" si="120">SUM(F492:F498)</f>
        <v>1086987</v>
      </c>
      <c r="G491" s="586">
        <f t="shared" si="120"/>
        <v>1080065</v>
      </c>
      <c r="H491" s="587">
        <f t="shared" si="108"/>
        <v>0.99363193856044274</v>
      </c>
    </row>
    <row r="492" spans="1:8" ht="65.25" customHeight="1">
      <c r="A492" s="971"/>
      <c r="B492" s="1929"/>
      <c r="C492" s="974" t="s">
        <v>511</v>
      </c>
      <c r="D492" s="893">
        <v>2057</v>
      </c>
      <c r="E492" s="783">
        <v>0</v>
      </c>
      <c r="F492" s="783">
        <v>56233</v>
      </c>
      <c r="G492" s="783">
        <v>49858</v>
      </c>
      <c r="H492" s="795">
        <f t="shared" si="108"/>
        <v>0.88663240446001457</v>
      </c>
    </row>
    <row r="493" spans="1:8" ht="63" customHeight="1">
      <c r="A493" s="971"/>
      <c r="B493" s="1935"/>
      <c r="C493" s="975" t="s">
        <v>512</v>
      </c>
      <c r="D493" s="863">
        <v>2059</v>
      </c>
      <c r="E493" s="563">
        <v>0</v>
      </c>
      <c r="F493" s="563">
        <v>10488</v>
      </c>
      <c r="G493" s="563">
        <v>9299</v>
      </c>
      <c r="H493" s="593">
        <f t="shared" si="108"/>
        <v>0.88663234172387495</v>
      </c>
    </row>
    <row r="494" spans="1:8" ht="46.5" customHeight="1">
      <c r="A494" s="971"/>
      <c r="B494" s="1935"/>
      <c r="C494" s="976" t="s">
        <v>513</v>
      </c>
      <c r="D494" s="872">
        <v>2918</v>
      </c>
      <c r="E494" s="670">
        <v>0</v>
      </c>
      <c r="F494" s="670">
        <v>2221</v>
      </c>
      <c r="G494" s="670">
        <v>2773</v>
      </c>
      <c r="H494" s="671">
        <f t="shared" si="108"/>
        <v>1.2485366951823502</v>
      </c>
    </row>
    <row r="495" spans="1:8" ht="52.5" customHeight="1">
      <c r="A495" s="971"/>
      <c r="B495" s="1935"/>
      <c r="C495" s="976" t="s">
        <v>296</v>
      </c>
      <c r="D495" s="1951">
        <v>2919</v>
      </c>
      <c r="E495" s="670">
        <v>0</v>
      </c>
      <c r="F495" s="670">
        <v>4760</v>
      </c>
      <c r="G495" s="670">
        <v>4759</v>
      </c>
      <c r="H495" s="671">
        <f t="shared" si="108"/>
        <v>0.99978991596638656</v>
      </c>
    </row>
    <row r="496" spans="1:8" ht="48" customHeight="1">
      <c r="A496" s="971"/>
      <c r="B496" s="1935"/>
      <c r="C496" s="977" t="s">
        <v>513</v>
      </c>
      <c r="D496" s="1952"/>
      <c r="E496" s="563">
        <v>0</v>
      </c>
      <c r="F496" s="563">
        <v>393</v>
      </c>
      <c r="G496" s="563">
        <v>489</v>
      </c>
      <c r="H496" s="593">
        <f t="shared" si="108"/>
        <v>1.2442748091603053</v>
      </c>
    </row>
    <row r="497" spans="1:8" ht="39.75" customHeight="1">
      <c r="A497" s="971"/>
      <c r="B497" s="1935"/>
      <c r="C497" s="978" t="s">
        <v>298</v>
      </c>
      <c r="D497" s="1951">
        <v>2959</v>
      </c>
      <c r="E497" s="670">
        <v>0</v>
      </c>
      <c r="F497" s="670">
        <v>1011686</v>
      </c>
      <c r="G497" s="670">
        <v>1011683</v>
      </c>
      <c r="H497" s="671">
        <f t="shared" si="108"/>
        <v>0.99999703465304457</v>
      </c>
    </row>
    <row r="498" spans="1:8" ht="38.25" customHeight="1">
      <c r="A498" s="971"/>
      <c r="B498" s="1935"/>
      <c r="C498" s="979" t="s">
        <v>514</v>
      </c>
      <c r="D498" s="1952"/>
      <c r="E498" s="670">
        <v>0</v>
      </c>
      <c r="F498" s="670">
        <v>1206</v>
      </c>
      <c r="G498" s="670">
        <v>1204</v>
      </c>
      <c r="H498" s="671">
        <f t="shared" si="108"/>
        <v>0.99834162520729686</v>
      </c>
    </row>
    <row r="499" spans="1:8" ht="15" customHeight="1">
      <c r="A499" s="971"/>
      <c r="B499" s="1942" t="s">
        <v>257</v>
      </c>
      <c r="C499" s="1943"/>
      <c r="D499" s="931"/>
      <c r="E499" s="597">
        <f>E500</f>
        <v>0</v>
      </c>
      <c r="F499" s="597">
        <f t="shared" ref="F499:G499" si="121">F500</f>
        <v>14241</v>
      </c>
      <c r="G499" s="597">
        <f t="shared" si="121"/>
        <v>14240</v>
      </c>
      <c r="H499" s="598">
        <f t="shared" si="108"/>
        <v>0.9999297802120638</v>
      </c>
    </row>
    <row r="500" spans="1:8" ht="42.75" customHeight="1" thickBot="1">
      <c r="A500" s="971"/>
      <c r="B500" s="941"/>
      <c r="C500" s="980" t="s">
        <v>298</v>
      </c>
      <c r="D500" s="929">
        <v>6699</v>
      </c>
      <c r="E500" s="783">
        <v>0</v>
      </c>
      <c r="F500" s="783">
        <v>14241</v>
      </c>
      <c r="G500" s="783">
        <v>14240</v>
      </c>
      <c r="H500" s="795">
        <f t="shared" si="108"/>
        <v>0.9999297802120638</v>
      </c>
    </row>
    <row r="501" spans="1:8" ht="14.25" customHeight="1" thickBot="1">
      <c r="A501" s="834">
        <v>854</v>
      </c>
      <c r="B501" s="881"/>
      <c r="C501" s="836" t="s">
        <v>87</v>
      </c>
      <c r="D501" s="882"/>
      <c r="E501" s="661">
        <f>E502</f>
        <v>0</v>
      </c>
      <c r="F501" s="661">
        <f t="shared" ref="F501:G501" si="122">F502</f>
        <v>0</v>
      </c>
      <c r="G501" s="661">
        <f t="shared" si="122"/>
        <v>7</v>
      </c>
      <c r="H501" s="662"/>
    </row>
    <row r="502" spans="1:8" ht="15.75" customHeight="1" thickBot="1">
      <c r="A502" s="949"/>
      <c r="B502" s="858">
        <v>85410</v>
      </c>
      <c r="C502" s="859" t="s">
        <v>515</v>
      </c>
      <c r="D502" s="886"/>
      <c r="E502" s="557">
        <f>E503+E505</f>
        <v>0</v>
      </c>
      <c r="F502" s="557">
        <f>F503+F505</f>
        <v>0</v>
      </c>
      <c r="G502" s="557">
        <f t="shared" ref="G502" si="123">G503+G505</f>
        <v>7</v>
      </c>
      <c r="H502" s="558"/>
    </row>
    <row r="503" spans="1:8" ht="18" customHeight="1">
      <c r="A503" s="949"/>
      <c r="B503" s="1940" t="s">
        <v>247</v>
      </c>
      <c r="C503" s="1940"/>
      <c r="D503" s="870"/>
      <c r="E503" s="560">
        <f t="shared" ref="E503:G503" si="124">E504</f>
        <v>0</v>
      </c>
      <c r="F503" s="560">
        <f t="shared" si="124"/>
        <v>0</v>
      </c>
      <c r="G503" s="560">
        <f t="shared" si="124"/>
        <v>7</v>
      </c>
      <c r="H503" s="561"/>
    </row>
    <row r="504" spans="1:8" ht="28.5" customHeight="1">
      <c r="A504" s="949"/>
      <c r="B504" s="966"/>
      <c r="C504" s="967" t="s">
        <v>466</v>
      </c>
      <c r="D504" s="968" t="s">
        <v>451</v>
      </c>
      <c r="E504" s="565">
        <v>0</v>
      </c>
      <c r="F504" s="565">
        <v>0</v>
      </c>
      <c r="G504" s="565">
        <v>7</v>
      </c>
      <c r="H504" s="564"/>
    </row>
    <row r="505" spans="1:8" ht="17.25" customHeight="1" thickBot="1">
      <c r="A505" s="949"/>
      <c r="B505" s="1936" t="s">
        <v>252</v>
      </c>
      <c r="C505" s="1931"/>
      <c r="D505" s="890"/>
      <c r="E505" s="569">
        <v>0</v>
      </c>
      <c r="F505" s="569">
        <v>0</v>
      </c>
      <c r="G505" s="569">
        <v>0</v>
      </c>
      <c r="H505" s="570"/>
    </row>
    <row r="506" spans="1:8" s="747" customFormat="1" ht="15.75" thickBot="1">
      <c r="A506" s="981">
        <v>855</v>
      </c>
      <c r="B506" s="982"/>
      <c r="C506" s="836" t="s">
        <v>123</v>
      </c>
      <c r="D506" s="882"/>
      <c r="E506" s="552">
        <f>SUM(E507,E518,E522,E511)</f>
        <v>4137027</v>
      </c>
      <c r="F506" s="552">
        <f t="shared" ref="F506:G506" si="125">SUM(F507,F518,F522,F511)</f>
        <v>5448326</v>
      </c>
      <c r="G506" s="552">
        <f t="shared" si="125"/>
        <v>5060989</v>
      </c>
      <c r="H506" s="553">
        <f t="shared" ref="H506:H578" si="126">G506/F506</f>
        <v>0.92890715423416292</v>
      </c>
    </row>
    <row r="507" spans="1:8" s="747" customFormat="1" ht="39" thickBot="1">
      <c r="A507" s="983"/>
      <c r="B507" s="858">
        <v>85502</v>
      </c>
      <c r="C507" s="859" t="s">
        <v>516</v>
      </c>
      <c r="D507" s="886"/>
      <c r="E507" s="557">
        <f>E508+E510</f>
        <v>0</v>
      </c>
      <c r="F507" s="557">
        <f>F508+F510</f>
        <v>0</v>
      </c>
      <c r="G507" s="557">
        <f>G508+G510</f>
        <v>8</v>
      </c>
      <c r="H507" s="558"/>
    </row>
    <row r="508" spans="1:8" s="747" customFormat="1">
      <c r="A508" s="983"/>
      <c r="B508" s="1940" t="s">
        <v>247</v>
      </c>
      <c r="C508" s="1940"/>
      <c r="D508" s="870"/>
      <c r="E508" s="560">
        <f t="shared" ref="E508:G508" si="127">E509</f>
        <v>0</v>
      </c>
      <c r="F508" s="560">
        <f t="shared" si="127"/>
        <v>0</v>
      </c>
      <c r="G508" s="560">
        <f t="shared" si="127"/>
        <v>8</v>
      </c>
      <c r="H508" s="561"/>
    </row>
    <row r="509" spans="1:8" s="747" customFormat="1" ht="38.25">
      <c r="A509" s="983"/>
      <c r="B509" s="966"/>
      <c r="C509" s="967" t="s">
        <v>263</v>
      </c>
      <c r="D509" s="968" t="s">
        <v>125</v>
      </c>
      <c r="E509" s="565">
        <v>0</v>
      </c>
      <c r="F509" s="565">
        <v>0</v>
      </c>
      <c r="G509" s="565">
        <v>8</v>
      </c>
      <c r="H509" s="564"/>
    </row>
    <row r="510" spans="1:8" s="747" customFormat="1" ht="15.75" thickBot="1">
      <c r="A510" s="983"/>
      <c r="B510" s="1936" t="s">
        <v>252</v>
      </c>
      <c r="C510" s="1931"/>
      <c r="D510" s="890"/>
      <c r="E510" s="569">
        <v>0</v>
      </c>
      <c r="F510" s="569">
        <v>0</v>
      </c>
      <c r="G510" s="569">
        <v>0</v>
      </c>
      <c r="H510" s="570"/>
    </row>
    <row r="511" spans="1:8" s="747" customFormat="1" ht="18" customHeight="1" thickBot="1">
      <c r="A511" s="984"/>
      <c r="B511" s="985">
        <v>85504</v>
      </c>
      <c r="C511" s="839" t="s">
        <v>517</v>
      </c>
      <c r="D511" s="986"/>
      <c r="E511" s="630">
        <f t="shared" ref="E511:G511" si="128">E512+E517</f>
        <v>2180477</v>
      </c>
      <c r="F511" s="630">
        <f t="shared" si="128"/>
        <v>2180477</v>
      </c>
      <c r="G511" s="630">
        <f t="shared" si="128"/>
        <v>2180054</v>
      </c>
      <c r="H511" s="631">
        <f t="shared" si="126"/>
        <v>0.99980600575011802</v>
      </c>
    </row>
    <row r="512" spans="1:8" s="747" customFormat="1">
      <c r="A512" s="984"/>
      <c r="B512" s="1940" t="s">
        <v>247</v>
      </c>
      <c r="C512" s="1940"/>
      <c r="D512" s="870"/>
      <c r="E512" s="575">
        <f>SUM(E513:E516)</f>
        <v>2180477</v>
      </c>
      <c r="F512" s="575">
        <f t="shared" ref="F512:G512" si="129">SUM(F513:F516)</f>
        <v>2180477</v>
      </c>
      <c r="G512" s="575">
        <f t="shared" si="129"/>
        <v>2180054</v>
      </c>
      <c r="H512" s="576">
        <f t="shared" si="126"/>
        <v>0.99980600575011802</v>
      </c>
    </row>
    <row r="513" spans="1:8" s="747" customFormat="1" ht="27.75" customHeight="1">
      <c r="A513" s="984"/>
      <c r="B513" s="1929"/>
      <c r="C513" s="1948" t="s">
        <v>518</v>
      </c>
      <c r="D513" s="959" t="s">
        <v>519</v>
      </c>
      <c r="E513" s="565">
        <v>1270121</v>
      </c>
      <c r="F513" s="565">
        <v>1052535</v>
      </c>
      <c r="G513" s="565">
        <v>1021695</v>
      </c>
      <c r="H513" s="564">
        <f t="shared" si="126"/>
        <v>0.97069931166184498</v>
      </c>
    </row>
    <row r="514" spans="1:8" s="747" customFormat="1" ht="25.5" customHeight="1">
      <c r="A514" s="984"/>
      <c r="B514" s="1935"/>
      <c r="C514" s="1949"/>
      <c r="D514" s="959" t="s">
        <v>456</v>
      </c>
      <c r="E514" s="565">
        <v>624351</v>
      </c>
      <c r="F514" s="565">
        <v>841937</v>
      </c>
      <c r="G514" s="565">
        <v>872507</v>
      </c>
      <c r="H514" s="564">
        <f t="shared" si="126"/>
        <v>1.0363091300180418</v>
      </c>
    </row>
    <row r="515" spans="1:8" s="747" customFormat="1" ht="52.5" customHeight="1">
      <c r="A515" s="984"/>
      <c r="B515" s="1935"/>
      <c r="C515" s="873" t="s">
        <v>520</v>
      </c>
      <c r="D515" s="959" t="s">
        <v>359</v>
      </c>
      <c r="E515" s="565">
        <v>286005</v>
      </c>
      <c r="F515" s="565">
        <v>286005</v>
      </c>
      <c r="G515" s="565">
        <v>285798</v>
      </c>
      <c r="H515" s="564">
        <f t="shared" si="126"/>
        <v>0.99927623642943308</v>
      </c>
    </row>
    <row r="516" spans="1:8" s="747" customFormat="1" ht="43.5" customHeight="1">
      <c r="A516" s="984"/>
      <c r="B516" s="1930"/>
      <c r="C516" s="873" t="s">
        <v>314</v>
      </c>
      <c r="D516" s="953" t="s">
        <v>160</v>
      </c>
      <c r="E516" s="624">
        <v>0</v>
      </c>
      <c r="F516" s="624">
        <v>0</v>
      </c>
      <c r="G516" s="624">
        <v>54</v>
      </c>
      <c r="H516" s="637"/>
    </row>
    <row r="517" spans="1:8" s="747" customFormat="1" ht="15.75" thickBot="1">
      <c r="A517" s="984"/>
      <c r="B517" s="1936" t="s">
        <v>252</v>
      </c>
      <c r="C517" s="1931"/>
      <c r="D517" s="890"/>
      <c r="E517" s="569">
        <v>0</v>
      </c>
      <c r="F517" s="569">
        <v>0</v>
      </c>
      <c r="G517" s="569">
        <v>0</v>
      </c>
      <c r="H517" s="570"/>
    </row>
    <row r="518" spans="1:8" s="747" customFormat="1" ht="15.75" thickBot="1">
      <c r="A518" s="984"/>
      <c r="B518" s="985">
        <v>85509</v>
      </c>
      <c r="C518" s="859" t="s">
        <v>521</v>
      </c>
      <c r="D518" s="986"/>
      <c r="E518" s="557">
        <f t="shared" ref="E518:G518" si="130">SUM(E519,E521)</f>
        <v>750000</v>
      </c>
      <c r="F518" s="557">
        <f t="shared" si="130"/>
        <v>1400925</v>
      </c>
      <c r="G518" s="557">
        <f t="shared" si="130"/>
        <v>1400013</v>
      </c>
      <c r="H518" s="558">
        <f t="shared" si="126"/>
        <v>0.99934900155254569</v>
      </c>
    </row>
    <row r="519" spans="1:8" s="747" customFormat="1">
      <c r="A519" s="984"/>
      <c r="B519" s="1940" t="s">
        <v>247</v>
      </c>
      <c r="C519" s="1940"/>
      <c r="D519" s="870"/>
      <c r="E519" s="560">
        <f t="shared" ref="E519:G519" si="131">SUM(E520)</f>
        <v>750000</v>
      </c>
      <c r="F519" s="560">
        <f t="shared" si="131"/>
        <v>1400925</v>
      </c>
      <c r="G519" s="560">
        <f t="shared" si="131"/>
        <v>1400013</v>
      </c>
      <c r="H519" s="561">
        <f t="shared" si="126"/>
        <v>0.99934900155254569</v>
      </c>
    </row>
    <row r="520" spans="1:8" s="747" customFormat="1" ht="38.25">
      <c r="A520" s="984"/>
      <c r="B520" s="987"/>
      <c r="C520" s="967" t="s">
        <v>262</v>
      </c>
      <c r="D520" s="970" t="s">
        <v>360</v>
      </c>
      <c r="E520" s="565">
        <v>750000</v>
      </c>
      <c r="F520" s="565">
        <v>1400925</v>
      </c>
      <c r="G520" s="565">
        <v>1400013</v>
      </c>
      <c r="H520" s="564">
        <f t="shared" si="126"/>
        <v>0.99934900155254569</v>
      </c>
    </row>
    <row r="521" spans="1:8" s="747" customFormat="1" ht="15.75" thickBot="1">
      <c r="A521" s="984"/>
      <c r="B521" s="1920" t="s">
        <v>252</v>
      </c>
      <c r="C521" s="1920"/>
      <c r="D521" s="894"/>
      <c r="E521" s="575">
        <v>0</v>
      </c>
      <c r="F521" s="575">
        <v>0</v>
      </c>
      <c r="G521" s="575">
        <v>0</v>
      </c>
      <c r="H521" s="576"/>
    </row>
    <row r="522" spans="1:8" s="747" customFormat="1" ht="15.75" thickBot="1">
      <c r="A522" s="984"/>
      <c r="B522" s="985">
        <v>85510</v>
      </c>
      <c r="C522" s="988" t="s">
        <v>522</v>
      </c>
      <c r="D522" s="986"/>
      <c r="E522" s="557">
        <f t="shared" ref="E522:G522" si="132">SUM(E523,E527)</f>
        <v>1206550</v>
      </c>
      <c r="F522" s="557">
        <f t="shared" si="132"/>
        <v>1866924</v>
      </c>
      <c r="G522" s="557">
        <f t="shared" si="132"/>
        <v>1480914</v>
      </c>
      <c r="H522" s="558">
        <f t="shared" si="126"/>
        <v>0.79323743226826593</v>
      </c>
    </row>
    <row r="523" spans="1:8" s="747" customFormat="1" ht="15.75" customHeight="1">
      <c r="A523" s="971"/>
      <c r="B523" s="1947" t="s">
        <v>247</v>
      </c>
      <c r="C523" s="1940"/>
      <c r="D523" s="870"/>
      <c r="E523" s="560">
        <f>SUM(E524:E526,)</f>
        <v>1206550</v>
      </c>
      <c r="F523" s="560">
        <f>SUM(F524:F526,)</f>
        <v>1866924</v>
      </c>
      <c r="G523" s="560">
        <f t="shared" ref="G523" si="133">SUM(G524:G526,)</f>
        <v>1480914</v>
      </c>
      <c r="H523" s="561">
        <f t="shared" si="126"/>
        <v>0.79323743226826593</v>
      </c>
    </row>
    <row r="524" spans="1:8" s="747" customFormat="1" ht="38.25">
      <c r="A524" s="971"/>
      <c r="B524" s="1944"/>
      <c r="C524" s="843" t="s">
        <v>523</v>
      </c>
      <c r="D524" s="970" t="s">
        <v>17</v>
      </c>
      <c r="E524" s="565">
        <v>1206550</v>
      </c>
      <c r="F524" s="565">
        <v>1857839</v>
      </c>
      <c r="G524" s="565">
        <v>1471831</v>
      </c>
      <c r="H524" s="564">
        <f t="shared" si="126"/>
        <v>0.79222742121357126</v>
      </c>
    </row>
    <row r="525" spans="1:8" s="747" customFormat="1" ht="52.5" customHeight="1">
      <c r="A525" s="971"/>
      <c r="B525" s="1945"/>
      <c r="C525" s="843" t="s">
        <v>524</v>
      </c>
      <c r="D525" s="989" t="s">
        <v>160</v>
      </c>
      <c r="E525" s="565">
        <v>0</v>
      </c>
      <c r="F525" s="565">
        <v>100</v>
      </c>
      <c r="G525" s="565">
        <v>99</v>
      </c>
      <c r="H525" s="564">
        <f t="shared" si="126"/>
        <v>0.99</v>
      </c>
    </row>
    <row r="526" spans="1:8" s="747" customFormat="1" ht="17.25" customHeight="1">
      <c r="A526" s="971"/>
      <c r="B526" s="1946"/>
      <c r="C526" s="857" t="s">
        <v>475</v>
      </c>
      <c r="D526" s="989" t="s">
        <v>307</v>
      </c>
      <c r="E526" s="572">
        <v>0</v>
      </c>
      <c r="F526" s="572">
        <v>8985</v>
      </c>
      <c r="G526" s="572">
        <v>8984</v>
      </c>
      <c r="H526" s="573">
        <f t="shared" si="126"/>
        <v>0.9998887033945465</v>
      </c>
    </row>
    <row r="527" spans="1:8" s="747" customFormat="1" ht="15.75" customHeight="1" thickBot="1">
      <c r="A527" s="990"/>
      <c r="B527" s="1936" t="s">
        <v>252</v>
      </c>
      <c r="C527" s="1931"/>
      <c r="D527" s="890"/>
      <c r="E527" s="656">
        <v>0</v>
      </c>
      <c r="F527" s="656">
        <v>0</v>
      </c>
      <c r="G527" s="656">
        <v>0</v>
      </c>
      <c r="H527" s="657"/>
    </row>
    <row r="528" spans="1:8" s="883" customFormat="1" ht="15.75" thickBot="1">
      <c r="A528" s="834">
        <v>900</v>
      </c>
      <c r="B528" s="881"/>
      <c r="C528" s="836" t="s">
        <v>54</v>
      </c>
      <c r="D528" s="882"/>
      <c r="E528" s="552">
        <f>SUM(E529,E533,E537,E543,E549)</f>
        <v>643500</v>
      </c>
      <c r="F528" s="552">
        <f t="shared" ref="F528:G528" si="134">SUM(F529,F533,F537,F543,F549)</f>
        <v>697600</v>
      </c>
      <c r="G528" s="552">
        <f t="shared" si="134"/>
        <v>754876</v>
      </c>
      <c r="H528" s="553">
        <f t="shared" si="126"/>
        <v>1.0821043577981651</v>
      </c>
    </row>
    <row r="529" spans="1:8" s="883" customFormat="1" ht="15.75" thickBot="1">
      <c r="A529" s="908"/>
      <c r="B529" s="858">
        <v>90005</v>
      </c>
      <c r="C529" s="839" t="s">
        <v>525</v>
      </c>
      <c r="D529" s="859"/>
      <c r="E529" s="557">
        <f t="shared" ref="E529:G529" si="135">SUM(E530,E532)</f>
        <v>0</v>
      </c>
      <c r="F529" s="557">
        <f t="shared" si="135"/>
        <v>49100</v>
      </c>
      <c r="G529" s="557">
        <f t="shared" si="135"/>
        <v>49100</v>
      </c>
      <c r="H529" s="558">
        <f t="shared" si="126"/>
        <v>1</v>
      </c>
    </row>
    <row r="530" spans="1:8" s="883" customFormat="1">
      <c r="A530" s="908"/>
      <c r="B530" s="1940" t="s">
        <v>247</v>
      </c>
      <c r="C530" s="1940"/>
      <c r="D530" s="870"/>
      <c r="E530" s="560">
        <f t="shared" ref="E530:G530" si="136">SUM(E531)</f>
        <v>0</v>
      </c>
      <c r="F530" s="560">
        <f t="shared" si="136"/>
        <v>49100</v>
      </c>
      <c r="G530" s="560">
        <f t="shared" si="136"/>
        <v>49100</v>
      </c>
      <c r="H530" s="561">
        <f t="shared" si="126"/>
        <v>1</v>
      </c>
    </row>
    <row r="531" spans="1:8" s="883" customFormat="1" ht="25.5">
      <c r="A531" s="908"/>
      <c r="B531" s="987"/>
      <c r="C531" s="843" t="s">
        <v>281</v>
      </c>
      <c r="D531" s="970" t="s">
        <v>526</v>
      </c>
      <c r="E531" s="565">
        <v>0</v>
      </c>
      <c r="F531" s="565">
        <v>49100</v>
      </c>
      <c r="G531" s="565">
        <v>49100</v>
      </c>
      <c r="H531" s="564">
        <f t="shared" si="126"/>
        <v>1</v>
      </c>
    </row>
    <row r="532" spans="1:8" s="883" customFormat="1" ht="15.75" thickBot="1">
      <c r="A532" s="908"/>
      <c r="B532" s="1920" t="s">
        <v>252</v>
      </c>
      <c r="C532" s="1920"/>
      <c r="D532" s="894"/>
      <c r="E532" s="575">
        <v>0</v>
      </c>
      <c r="F532" s="575">
        <v>0</v>
      </c>
      <c r="G532" s="575">
        <v>0</v>
      </c>
      <c r="H532" s="576"/>
    </row>
    <row r="533" spans="1:8" s="887" customFormat="1" ht="26.25" thickBot="1">
      <c r="A533" s="1941"/>
      <c r="B533" s="858">
        <v>90019</v>
      </c>
      <c r="C533" s="839" t="s">
        <v>168</v>
      </c>
      <c r="D533" s="859"/>
      <c r="E533" s="557">
        <f t="shared" ref="E533:G533" si="137">SUM(E534,E536)</f>
        <v>635000</v>
      </c>
      <c r="F533" s="557">
        <f t="shared" si="137"/>
        <v>635000</v>
      </c>
      <c r="G533" s="557">
        <f t="shared" si="137"/>
        <v>678757</v>
      </c>
      <c r="H533" s="558">
        <f t="shared" si="126"/>
        <v>1.0689086614173229</v>
      </c>
    </row>
    <row r="534" spans="1:8" ht="14.25" customHeight="1">
      <c r="A534" s="1941"/>
      <c r="B534" s="1940" t="s">
        <v>247</v>
      </c>
      <c r="C534" s="1940"/>
      <c r="D534" s="870"/>
      <c r="E534" s="560">
        <f t="shared" ref="E534:G534" si="138">SUM(E535)</f>
        <v>635000</v>
      </c>
      <c r="F534" s="560">
        <f t="shared" si="138"/>
        <v>635000</v>
      </c>
      <c r="G534" s="560">
        <f t="shared" si="138"/>
        <v>678757</v>
      </c>
      <c r="H534" s="561">
        <f t="shared" si="126"/>
        <v>1.0689086614173229</v>
      </c>
    </row>
    <row r="535" spans="1:8" ht="23.25" customHeight="1">
      <c r="A535" s="1941"/>
      <c r="B535" s="987"/>
      <c r="C535" s="843" t="s">
        <v>527</v>
      </c>
      <c r="D535" s="970" t="s">
        <v>151</v>
      </c>
      <c r="E535" s="565">
        <v>635000</v>
      </c>
      <c r="F535" s="565">
        <v>635000</v>
      </c>
      <c r="G535" s="565">
        <v>678757</v>
      </c>
      <c r="H535" s="564">
        <f t="shared" si="126"/>
        <v>1.0689086614173229</v>
      </c>
    </row>
    <row r="536" spans="1:8">
      <c r="A536" s="1941"/>
      <c r="B536" s="1942" t="s">
        <v>252</v>
      </c>
      <c r="C536" s="1943"/>
      <c r="D536" s="931"/>
      <c r="E536" s="597">
        <v>0</v>
      </c>
      <c r="F536" s="597">
        <v>0</v>
      </c>
      <c r="G536" s="597">
        <v>0</v>
      </c>
      <c r="H536" s="598"/>
    </row>
    <row r="537" spans="1:8" s="887" customFormat="1" ht="26.25" thickBot="1">
      <c r="A537" s="1941"/>
      <c r="B537" s="991">
        <v>90020</v>
      </c>
      <c r="C537" s="852" t="s">
        <v>170</v>
      </c>
      <c r="D537" s="952"/>
      <c r="E537" s="616">
        <f>SUM(E538,E542)</f>
        <v>7000</v>
      </c>
      <c r="F537" s="616">
        <f>SUM(F538,F542)</f>
        <v>7000</v>
      </c>
      <c r="G537" s="616">
        <f>SUM(G538,G542)</f>
        <v>20576</v>
      </c>
      <c r="H537" s="617">
        <f t="shared" si="126"/>
        <v>2.9394285714285715</v>
      </c>
    </row>
    <row r="538" spans="1:8">
      <c r="A538" s="1941"/>
      <c r="B538" s="1940" t="s">
        <v>247</v>
      </c>
      <c r="C538" s="1940"/>
      <c r="D538" s="870"/>
      <c r="E538" s="560">
        <f>SUM(E539:E541)</f>
        <v>7000</v>
      </c>
      <c r="F538" s="560">
        <f>SUM(F539:F541)</f>
        <v>7000</v>
      </c>
      <c r="G538" s="560">
        <f>SUM(G539:G541)</f>
        <v>20576</v>
      </c>
      <c r="H538" s="561">
        <f t="shared" si="126"/>
        <v>2.9394285714285715</v>
      </c>
    </row>
    <row r="539" spans="1:8" ht="25.5">
      <c r="A539" s="1941"/>
      <c r="B539" s="1944"/>
      <c r="C539" s="843" t="s">
        <v>528</v>
      </c>
      <c r="D539" s="992" t="s">
        <v>172</v>
      </c>
      <c r="E539" s="565">
        <v>6000</v>
      </c>
      <c r="F539" s="565">
        <v>6000</v>
      </c>
      <c r="G539" s="565">
        <v>19989</v>
      </c>
      <c r="H539" s="564">
        <f t="shared" si="126"/>
        <v>3.3315000000000001</v>
      </c>
    </row>
    <row r="540" spans="1:8" ht="29.25" customHeight="1">
      <c r="A540" s="1941"/>
      <c r="B540" s="1945"/>
      <c r="C540" s="993" t="s">
        <v>529</v>
      </c>
      <c r="D540" s="989" t="s">
        <v>173</v>
      </c>
      <c r="E540" s="565">
        <v>900</v>
      </c>
      <c r="F540" s="565">
        <v>900</v>
      </c>
      <c r="G540" s="565">
        <v>572</v>
      </c>
      <c r="H540" s="564">
        <f t="shared" si="126"/>
        <v>0.63555555555555554</v>
      </c>
    </row>
    <row r="541" spans="1:8" ht="25.5">
      <c r="A541" s="1941"/>
      <c r="B541" s="1946"/>
      <c r="C541" s="993" t="s">
        <v>530</v>
      </c>
      <c r="D541" s="989" t="s">
        <v>174</v>
      </c>
      <c r="E541" s="565">
        <v>100</v>
      </c>
      <c r="F541" s="565">
        <v>100</v>
      </c>
      <c r="G541" s="565">
        <v>15</v>
      </c>
      <c r="H541" s="564">
        <f t="shared" si="126"/>
        <v>0.15</v>
      </c>
    </row>
    <row r="542" spans="1:8" ht="15.75" thickBot="1">
      <c r="A542" s="1941"/>
      <c r="B542" s="1931" t="s">
        <v>252</v>
      </c>
      <c r="C542" s="1931"/>
      <c r="D542" s="890"/>
      <c r="E542" s="569">
        <v>0</v>
      </c>
      <c r="F542" s="569">
        <v>0</v>
      </c>
      <c r="G542" s="569">
        <v>0</v>
      </c>
      <c r="H542" s="570"/>
    </row>
    <row r="543" spans="1:8" ht="26.25" thickBot="1">
      <c r="A543" s="1941"/>
      <c r="B543" s="991">
        <v>90024</v>
      </c>
      <c r="C543" s="852" t="s">
        <v>531</v>
      </c>
      <c r="D543" s="952"/>
      <c r="E543" s="557">
        <f t="shared" ref="E543:G543" si="139">SUM(E548,E544)</f>
        <v>1500</v>
      </c>
      <c r="F543" s="557">
        <f t="shared" si="139"/>
        <v>1500</v>
      </c>
      <c r="G543" s="557">
        <f t="shared" si="139"/>
        <v>1436</v>
      </c>
      <c r="H543" s="558">
        <f t="shared" si="126"/>
        <v>0.95733333333333337</v>
      </c>
    </row>
    <row r="544" spans="1:8">
      <c r="A544" s="1941"/>
      <c r="B544" s="1921" t="s">
        <v>247</v>
      </c>
      <c r="C544" s="1921"/>
      <c r="D544" s="860"/>
      <c r="E544" s="560">
        <f>SUM(E545:E547)</f>
        <v>1500</v>
      </c>
      <c r="F544" s="560">
        <f>SUM(F545:F547)</f>
        <v>1500</v>
      </c>
      <c r="G544" s="560">
        <f>SUM(G545:G547)</f>
        <v>1436</v>
      </c>
      <c r="H544" s="561">
        <f t="shared" si="126"/>
        <v>0.95733333333333337</v>
      </c>
    </row>
    <row r="545" spans="1:8" ht="16.5" customHeight="1">
      <c r="A545" s="1941"/>
      <c r="B545" s="1944"/>
      <c r="C545" s="1937" t="s">
        <v>532</v>
      </c>
      <c r="D545" s="994" t="s">
        <v>172</v>
      </c>
      <c r="E545" s="565">
        <v>100</v>
      </c>
      <c r="F545" s="565">
        <v>100</v>
      </c>
      <c r="G545" s="565">
        <v>0</v>
      </c>
      <c r="H545" s="564">
        <f t="shared" si="126"/>
        <v>0</v>
      </c>
    </row>
    <row r="546" spans="1:8" ht="15" customHeight="1">
      <c r="A546" s="1941"/>
      <c r="B546" s="1945"/>
      <c r="C546" s="1938"/>
      <c r="D546" s="995" t="s">
        <v>151</v>
      </c>
      <c r="E546" s="565">
        <v>1300</v>
      </c>
      <c r="F546" s="565">
        <v>1300</v>
      </c>
      <c r="G546" s="565">
        <v>1100</v>
      </c>
      <c r="H546" s="564">
        <f t="shared" si="126"/>
        <v>0.84615384615384615</v>
      </c>
    </row>
    <row r="547" spans="1:8" ht="15.75" customHeight="1">
      <c r="A547" s="1941"/>
      <c r="B547" s="1946"/>
      <c r="C547" s="1939"/>
      <c r="D547" s="995" t="s">
        <v>174</v>
      </c>
      <c r="E547" s="565">
        <v>100</v>
      </c>
      <c r="F547" s="565">
        <v>100</v>
      </c>
      <c r="G547" s="565">
        <v>336</v>
      </c>
      <c r="H547" s="564">
        <f t="shared" si="126"/>
        <v>3.36</v>
      </c>
    </row>
    <row r="548" spans="1:8" ht="15" customHeight="1" thickBot="1">
      <c r="A548" s="1941"/>
      <c r="B548" s="1920" t="s">
        <v>252</v>
      </c>
      <c r="C548" s="1920"/>
      <c r="D548" s="894"/>
      <c r="E548" s="575">
        <v>0</v>
      </c>
      <c r="F548" s="575">
        <v>0</v>
      </c>
      <c r="G548" s="575">
        <v>0</v>
      </c>
      <c r="H548" s="576"/>
    </row>
    <row r="549" spans="1:8" ht="15.75" customHeight="1" thickBot="1">
      <c r="A549" s="984"/>
      <c r="B549" s="918">
        <v>90095</v>
      </c>
      <c r="C549" s="839" t="s">
        <v>11</v>
      </c>
      <c r="D549" s="839"/>
      <c r="E549" s="557">
        <f>SUM(E550,E553)</f>
        <v>0</v>
      </c>
      <c r="F549" s="557">
        <f t="shared" ref="F549:G549" si="140">SUM(F550,F553)</f>
        <v>5000</v>
      </c>
      <c r="G549" s="557">
        <f t="shared" si="140"/>
        <v>5007</v>
      </c>
      <c r="H549" s="558">
        <f t="shared" ref="H549:H552" si="141">G549/F549</f>
        <v>1.0014000000000001</v>
      </c>
    </row>
    <row r="550" spans="1:8" ht="15" customHeight="1">
      <c r="A550" s="984"/>
      <c r="B550" s="1921" t="s">
        <v>247</v>
      </c>
      <c r="C550" s="1921"/>
      <c r="D550" s="860"/>
      <c r="E550" s="560">
        <f>SUM(E551:E553)</f>
        <v>0</v>
      </c>
      <c r="F550" s="560">
        <f>SUM(F551:F553)</f>
        <v>5000</v>
      </c>
      <c r="G550" s="560">
        <f>SUM(G551:G553)</f>
        <v>5007</v>
      </c>
      <c r="H550" s="561">
        <f t="shared" si="141"/>
        <v>1.0014000000000001</v>
      </c>
    </row>
    <row r="551" spans="1:8" ht="35.25" customHeight="1">
      <c r="A551" s="984"/>
      <c r="B551" s="996"/>
      <c r="C551" s="997" t="s">
        <v>263</v>
      </c>
      <c r="D551" s="994" t="s">
        <v>125</v>
      </c>
      <c r="E551" s="565">
        <v>0</v>
      </c>
      <c r="F551" s="565">
        <v>0</v>
      </c>
      <c r="G551" s="565">
        <v>7</v>
      </c>
      <c r="H551" s="564"/>
    </row>
    <row r="552" spans="1:8" ht="30" customHeight="1">
      <c r="A552" s="984"/>
      <c r="B552" s="998"/>
      <c r="C552" s="999" t="s">
        <v>281</v>
      </c>
      <c r="D552" s="995" t="s">
        <v>526</v>
      </c>
      <c r="E552" s="565">
        <v>0</v>
      </c>
      <c r="F552" s="565">
        <v>5000</v>
      </c>
      <c r="G552" s="565">
        <v>5000</v>
      </c>
      <c r="H552" s="564">
        <f t="shared" si="141"/>
        <v>1</v>
      </c>
    </row>
    <row r="553" spans="1:8" ht="15" customHeight="1" thickBot="1">
      <c r="A553" s="984"/>
      <c r="B553" s="1920" t="s">
        <v>252</v>
      </c>
      <c r="C553" s="1920"/>
      <c r="D553" s="894"/>
      <c r="E553" s="575">
        <v>0</v>
      </c>
      <c r="F553" s="575">
        <v>0</v>
      </c>
      <c r="G553" s="575">
        <v>0</v>
      </c>
      <c r="H553" s="576"/>
    </row>
    <row r="554" spans="1:8" s="883" customFormat="1" ht="15.75" customHeight="1" thickBot="1">
      <c r="A554" s="1000">
        <v>921</v>
      </c>
      <c r="B554" s="1001"/>
      <c r="C554" s="1002" t="s">
        <v>61</v>
      </c>
      <c r="D554" s="1003"/>
      <c r="E554" s="552">
        <f>SUM(E560,E564,E569,E574,E578,E583,E588,E555)</f>
        <v>3350642</v>
      </c>
      <c r="F554" s="552">
        <f t="shared" ref="F554:G554" si="142">SUM(F560,F564,F569,F574,F578,F583,F588,F555)</f>
        <v>4450957</v>
      </c>
      <c r="G554" s="552">
        <f t="shared" si="142"/>
        <v>4534395</v>
      </c>
      <c r="H554" s="553">
        <f t="shared" si="126"/>
        <v>1.0187460808990068</v>
      </c>
    </row>
    <row r="555" spans="1:8" s="883" customFormat="1" ht="14.25" customHeight="1" thickBot="1">
      <c r="A555" s="1004"/>
      <c r="B555" s="858">
        <v>92105</v>
      </c>
      <c r="C555" s="839" t="s">
        <v>141</v>
      </c>
      <c r="D555" s="859"/>
      <c r="E555" s="557">
        <f>E556+E559</f>
        <v>0</v>
      </c>
      <c r="F555" s="557">
        <f t="shared" ref="F555:G555" si="143">F556+F559</f>
        <v>0</v>
      </c>
      <c r="G555" s="557">
        <f t="shared" si="143"/>
        <v>2107</v>
      </c>
      <c r="H555" s="558"/>
    </row>
    <row r="556" spans="1:8" s="883" customFormat="1" ht="14.25" customHeight="1">
      <c r="A556" s="1004"/>
      <c r="B556" s="1932" t="s">
        <v>247</v>
      </c>
      <c r="C556" s="1916"/>
      <c r="D556" s="1005"/>
      <c r="E556" s="560">
        <f>E557+E558</f>
        <v>0</v>
      </c>
      <c r="F556" s="560">
        <f t="shared" ref="F556:G556" si="144">F557+F558</f>
        <v>0</v>
      </c>
      <c r="G556" s="560">
        <f t="shared" si="144"/>
        <v>2107</v>
      </c>
      <c r="H556" s="561"/>
    </row>
    <row r="557" spans="1:8" s="883" customFormat="1" ht="47.25" customHeight="1">
      <c r="A557" s="1004"/>
      <c r="B557" s="1929"/>
      <c r="C557" s="1006" t="s">
        <v>312</v>
      </c>
      <c r="D557" s="970" t="s">
        <v>313</v>
      </c>
      <c r="E557" s="563">
        <v>0</v>
      </c>
      <c r="F557" s="563">
        <v>0</v>
      </c>
      <c r="G557" s="563">
        <v>232</v>
      </c>
      <c r="H557" s="633"/>
    </row>
    <row r="558" spans="1:8" s="883" customFormat="1" ht="41.25" customHeight="1">
      <c r="A558" s="1004"/>
      <c r="B558" s="1930"/>
      <c r="C558" s="843" t="s">
        <v>314</v>
      </c>
      <c r="D558" s="970" t="s">
        <v>160</v>
      </c>
      <c r="E558" s="565">
        <v>0</v>
      </c>
      <c r="F558" s="565">
        <v>0</v>
      </c>
      <c r="G558" s="565">
        <v>1875</v>
      </c>
      <c r="H558" s="564"/>
    </row>
    <row r="559" spans="1:8" s="883" customFormat="1" ht="14.25" customHeight="1" thickBot="1">
      <c r="A559" s="1004"/>
      <c r="B559" s="1936" t="s">
        <v>252</v>
      </c>
      <c r="C559" s="1931"/>
      <c r="D559" s="890"/>
      <c r="E559" s="569">
        <v>0</v>
      </c>
      <c r="F559" s="569">
        <v>0</v>
      </c>
      <c r="G559" s="569">
        <v>0</v>
      </c>
      <c r="H559" s="570"/>
    </row>
    <row r="560" spans="1:8" s="883" customFormat="1" ht="14.25" customHeight="1" thickBot="1">
      <c r="A560" s="1004"/>
      <c r="B560" s="858">
        <v>92106</v>
      </c>
      <c r="C560" s="839" t="s">
        <v>184</v>
      </c>
      <c r="D560" s="859"/>
      <c r="E560" s="557">
        <f>E561+E563</f>
        <v>0</v>
      </c>
      <c r="F560" s="557">
        <f t="shared" ref="F560:G560" si="145">F561+F563</f>
        <v>50000</v>
      </c>
      <c r="G560" s="557">
        <f t="shared" si="145"/>
        <v>50000</v>
      </c>
      <c r="H560" s="558">
        <f t="shared" si="126"/>
        <v>1</v>
      </c>
    </row>
    <row r="561" spans="1:8" s="883" customFormat="1" ht="14.25" customHeight="1">
      <c r="A561" s="1004"/>
      <c r="B561" s="1932" t="s">
        <v>247</v>
      </c>
      <c r="C561" s="1915"/>
      <c r="D561" s="919"/>
      <c r="E561" s="560">
        <f>E562</f>
        <v>0</v>
      </c>
      <c r="F561" s="560">
        <f t="shared" ref="F561:G561" si="146">F562</f>
        <v>50000</v>
      </c>
      <c r="G561" s="560">
        <f t="shared" si="146"/>
        <v>50000</v>
      </c>
      <c r="H561" s="561">
        <f t="shared" si="126"/>
        <v>1</v>
      </c>
    </row>
    <row r="562" spans="1:8" s="883" customFormat="1" ht="30.75" customHeight="1">
      <c r="A562" s="1004"/>
      <c r="B562" s="904"/>
      <c r="C562" s="843" t="s">
        <v>533</v>
      </c>
      <c r="D562" s="970" t="s">
        <v>19</v>
      </c>
      <c r="E562" s="565">
        <v>0</v>
      </c>
      <c r="F562" s="565">
        <v>50000</v>
      </c>
      <c r="G562" s="565">
        <v>50000</v>
      </c>
      <c r="H562" s="564">
        <f t="shared" si="126"/>
        <v>1</v>
      </c>
    </row>
    <row r="563" spans="1:8" s="883" customFormat="1" ht="14.25" customHeight="1" thickBot="1">
      <c r="A563" s="1004"/>
      <c r="B563" s="1936" t="s">
        <v>252</v>
      </c>
      <c r="C563" s="1931"/>
      <c r="D563" s="890"/>
      <c r="E563" s="569">
        <v>0</v>
      </c>
      <c r="F563" s="569">
        <v>0</v>
      </c>
      <c r="G563" s="569">
        <v>0</v>
      </c>
      <c r="H563" s="570"/>
    </row>
    <row r="564" spans="1:8" s="883" customFormat="1" ht="14.25" customHeight="1" thickBot="1">
      <c r="A564" s="1004"/>
      <c r="B564" s="858">
        <v>92108</v>
      </c>
      <c r="C564" s="839" t="s">
        <v>29</v>
      </c>
      <c r="D564" s="859"/>
      <c r="E564" s="557">
        <f>E565+E567</f>
        <v>0</v>
      </c>
      <c r="F564" s="557">
        <f t="shared" ref="F564:G564" si="147">F565+F567</f>
        <v>140000</v>
      </c>
      <c r="G564" s="557">
        <f t="shared" si="147"/>
        <v>140060</v>
      </c>
      <c r="H564" s="558">
        <f t="shared" si="126"/>
        <v>1.0004285714285714</v>
      </c>
    </row>
    <row r="565" spans="1:8" s="883" customFormat="1" ht="14.25" customHeight="1">
      <c r="A565" s="1004"/>
      <c r="B565" s="1932" t="s">
        <v>247</v>
      </c>
      <c r="C565" s="1915"/>
      <c r="D565" s="919"/>
      <c r="E565" s="560">
        <f>E566</f>
        <v>0</v>
      </c>
      <c r="F565" s="560">
        <f t="shared" ref="F565:G565" si="148">F566</f>
        <v>140000</v>
      </c>
      <c r="G565" s="560">
        <f t="shared" si="148"/>
        <v>140000</v>
      </c>
      <c r="H565" s="561">
        <f t="shared" si="126"/>
        <v>1</v>
      </c>
    </row>
    <row r="566" spans="1:8" s="883" customFormat="1" ht="28.5" customHeight="1">
      <c r="A566" s="1004"/>
      <c r="B566" s="904"/>
      <c r="C566" s="843" t="s">
        <v>533</v>
      </c>
      <c r="D566" s="970" t="s">
        <v>19</v>
      </c>
      <c r="E566" s="565">
        <v>0</v>
      </c>
      <c r="F566" s="565">
        <v>140000</v>
      </c>
      <c r="G566" s="565">
        <v>140000</v>
      </c>
      <c r="H566" s="564">
        <f t="shared" si="126"/>
        <v>1</v>
      </c>
    </row>
    <row r="567" spans="1:8" s="883" customFormat="1" ht="14.25" customHeight="1">
      <c r="A567" s="1004"/>
      <c r="B567" s="1933" t="s">
        <v>257</v>
      </c>
      <c r="C567" s="1920"/>
      <c r="D567" s="894"/>
      <c r="E567" s="769">
        <f>E568</f>
        <v>0</v>
      </c>
      <c r="F567" s="769">
        <f t="shared" ref="F567:G567" si="149">F568</f>
        <v>0</v>
      </c>
      <c r="G567" s="769">
        <f t="shared" si="149"/>
        <v>60</v>
      </c>
      <c r="H567" s="770"/>
    </row>
    <row r="568" spans="1:8" s="883" customFormat="1" ht="28.5" customHeight="1" thickBot="1">
      <c r="A568" s="1004"/>
      <c r="B568" s="1007"/>
      <c r="C568" s="1008" t="s">
        <v>534</v>
      </c>
      <c r="D568" s="1009" t="s">
        <v>349</v>
      </c>
      <c r="E568" s="580">
        <v>0</v>
      </c>
      <c r="F568" s="580">
        <v>0</v>
      </c>
      <c r="G568" s="580">
        <v>60</v>
      </c>
      <c r="H568" s="581"/>
    </row>
    <row r="569" spans="1:8" s="883" customFormat="1" ht="16.5" customHeight="1" thickBot="1">
      <c r="A569" s="1004"/>
      <c r="B569" s="858">
        <v>92109</v>
      </c>
      <c r="C569" s="839" t="s">
        <v>89</v>
      </c>
      <c r="D569" s="859"/>
      <c r="E569" s="557">
        <f>E570+E572</f>
        <v>0</v>
      </c>
      <c r="F569" s="557">
        <f t="shared" ref="F569:G569" si="150">F570+F572</f>
        <v>24678</v>
      </c>
      <c r="G569" s="557">
        <f t="shared" si="150"/>
        <v>25407</v>
      </c>
      <c r="H569" s="558">
        <f t="shared" si="126"/>
        <v>1.0295404814004376</v>
      </c>
    </row>
    <row r="570" spans="1:8" s="883" customFormat="1" ht="16.5" customHeight="1">
      <c r="A570" s="1004"/>
      <c r="B570" s="1932" t="s">
        <v>247</v>
      </c>
      <c r="C570" s="1915"/>
      <c r="D570" s="919"/>
      <c r="E570" s="560">
        <f>E571</f>
        <v>0</v>
      </c>
      <c r="F570" s="560">
        <f t="shared" ref="F570:G570" si="151">F571</f>
        <v>0</v>
      </c>
      <c r="G570" s="560">
        <f t="shared" si="151"/>
        <v>730</v>
      </c>
      <c r="H570" s="561"/>
    </row>
    <row r="571" spans="1:8" s="883" customFormat="1" ht="26.25" customHeight="1">
      <c r="A571" s="1004"/>
      <c r="B571" s="904"/>
      <c r="C571" s="843" t="s">
        <v>535</v>
      </c>
      <c r="D571" s="970" t="s">
        <v>307</v>
      </c>
      <c r="E571" s="565">
        <v>0</v>
      </c>
      <c r="F571" s="565">
        <v>0</v>
      </c>
      <c r="G571" s="565">
        <v>730</v>
      </c>
      <c r="H571" s="564"/>
    </row>
    <row r="572" spans="1:8" s="883" customFormat="1" ht="16.5" customHeight="1">
      <c r="A572" s="1004"/>
      <c r="B572" s="1933" t="s">
        <v>257</v>
      </c>
      <c r="C572" s="1920"/>
      <c r="D572" s="894"/>
      <c r="E572" s="769">
        <f>E573</f>
        <v>0</v>
      </c>
      <c r="F572" s="769">
        <f t="shared" ref="F572:G572" si="152">F573</f>
        <v>24678</v>
      </c>
      <c r="G572" s="769">
        <f t="shared" si="152"/>
        <v>24677</v>
      </c>
      <c r="H572" s="770">
        <f t="shared" si="126"/>
        <v>0.99995947807763996</v>
      </c>
    </row>
    <row r="573" spans="1:8" s="883" customFormat="1" ht="30" customHeight="1" thickBot="1">
      <c r="A573" s="1004"/>
      <c r="B573" s="1007"/>
      <c r="C573" s="1008" t="s">
        <v>534</v>
      </c>
      <c r="D573" s="1009" t="s">
        <v>349</v>
      </c>
      <c r="E573" s="580">
        <v>0</v>
      </c>
      <c r="F573" s="580">
        <v>24678</v>
      </c>
      <c r="G573" s="580">
        <v>24677</v>
      </c>
      <c r="H573" s="581">
        <f t="shared" si="126"/>
        <v>0.99995947807763996</v>
      </c>
    </row>
    <row r="574" spans="1:8" s="883" customFormat="1" ht="16.5" customHeight="1" thickBot="1">
      <c r="A574" s="1004"/>
      <c r="B574" s="858">
        <v>92114</v>
      </c>
      <c r="C574" s="839" t="s">
        <v>536</v>
      </c>
      <c r="D574" s="859"/>
      <c r="E574" s="557">
        <f>E575+E576</f>
        <v>0</v>
      </c>
      <c r="F574" s="557">
        <f>F575+F576</f>
        <v>0</v>
      </c>
      <c r="G574" s="557">
        <f>G575+G576</f>
        <v>18354</v>
      </c>
      <c r="H574" s="558"/>
    </row>
    <row r="575" spans="1:8" s="883" customFormat="1" ht="16.5" customHeight="1">
      <c r="A575" s="1004"/>
      <c r="B575" s="1932" t="s">
        <v>309</v>
      </c>
      <c r="C575" s="1915"/>
      <c r="D575" s="919"/>
      <c r="E575" s="560">
        <v>0</v>
      </c>
      <c r="F575" s="560">
        <v>0</v>
      </c>
      <c r="G575" s="560">
        <v>0</v>
      </c>
      <c r="H575" s="561"/>
    </row>
    <row r="576" spans="1:8" s="883" customFormat="1" ht="16.5" customHeight="1">
      <c r="A576" s="1004"/>
      <c r="B576" s="1933" t="s">
        <v>257</v>
      </c>
      <c r="C576" s="1920"/>
      <c r="D576" s="894"/>
      <c r="E576" s="769">
        <f>E577</f>
        <v>0</v>
      </c>
      <c r="F576" s="769">
        <f t="shared" ref="F576:G576" si="153">F577</f>
        <v>0</v>
      </c>
      <c r="G576" s="769">
        <f t="shared" si="153"/>
        <v>18354</v>
      </c>
      <c r="H576" s="770"/>
    </row>
    <row r="577" spans="1:8" s="883" customFormat="1" ht="30.75" customHeight="1" thickBot="1">
      <c r="A577" s="1004"/>
      <c r="B577" s="1007"/>
      <c r="C577" s="1008" t="s">
        <v>534</v>
      </c>
      <c r="D577" s="1009" t="s">
        <v>349</v>
      </c>
      <c r="E577" s="580">
        <v>0</v>
      </c>
      <c r="F577" s="580">
        <v>0</v>
      </c>
      <c r="G577" s="580">
        <v>18354</v>
      </c>
      <c r="H577" s="581"/>
    </row>
    <row r="578" spans="1:8" s="887" customFormat="1" ht="15.75" thickBot="1">
      <c r="A578" s="1934"/>
      <c r="B578" s="858">
        <v>92116</v>
      </c>
      <c r="C578" s="839" t="s">
        <v>537</v>
      </c>
      <c r="D578" s="859"/>
      <c r="E578" s="557">
        <f>SUM(E579,E582)</f>
        <v>3307016</v>
      </c>
      <c r="F578" s="557">
        <f>SUM(F579,F582)</f>
        <v>3963460</v>
      </c>
      <c r="G578" s="557">
        <f>SUM(G579,G582)</f>
        <v>3963460</v>
      </c>
      <c r="H578" s="558">
        <f t="shared" si="126"/>
        <v>1</v>
      </c>
    </row>
    <row r="579" spans="1:8">
      <c r="A579" s="1934"/>
      <c r="B579" s="1932" t="s">
        <v>247</v>
      </c>
      <c r="C579" s="1915"/>
      <c r="D579" s="919"/>
      <c r="E579" s="560">
        <f>SUM(E580:E581)</f>
        <v>3307016</v>
      </c>
      <c r="F579" s="560">
        <f>SUM(F580:F581)</f>
        <v>3963460</v>
      </c>
      <c r="G579" s="560">
        <f>SUM(G580:G581)</f>
        <v>3963460</v>
      </c>
      <c r="H579" s="561">
        <f t="shared" ref="H579:H619" si="154">G579/F579</f>
        <v>1</v>
      </c>
    </row>
    <row r="580" spans="1:8" ht="41.25" customHeight="1">
      <c r="A580" s="1934"/>
      <c r="B580" s="1935"/>
      <c r="C580" s="843" t="s">
        <v>538</v>
      </c>
      <c r="D580" s="1010">
        <v>2310</v>
      </c>
      <c r="E580" s="565">
        <v>3234016</v>
      </c>
      <c r="F580" s="565">
        <v>3886460</v>
      </c>
      <c r="G580" s="565">
        <v>3886460</v>
      </c>
      <c r="H580" s="564">
        <f t="shared" si="154"/>
        <v>1</v>
      </c>
    </row>
    <row r="581" spans="1:8" ht="36.75" customHeight="1">
      <c r="A581" s="1934"/>
      <c r="B581" s="1930"/>
      <c r="C581" s="843" t="s">
        <v>539</v>
      </c>
      <c r="D581" s="1010">
        <v>2320</v>
      </c>
      <c r="E581" s="565">
        <v>73000</v>
      </c>
      <c r="F581" s="565">
        <v>77000</v>
      </c>
      <c r="G581" s="565">
        <v>77000</v>
      </c>
      <c r="H581" s="564">
        <f t="shared" si="154"/>
        <v>1</v>
      </c>
    </row>
    <row r="582" spans="1:8" ht="15.75" thickBot="1">
      <c r="A582" s="1934"/>
      <c r="B582" s="1936" t="s">
        <v>252</v>
      </c>
      <c r="C582" s="1931"/>
      <c r="D582" s="890"/>
      <c r="E582" s="569">
        <v>0</v>
      </c>
      <c r="F582" s="569">
        <v>0</v>
      </c>
      <c r="G582" s="569">
        <v>0</v>
      </c>
      <c r="H582" s="570"/>
    </row>
    <row r="583" spans="1:8" ht="15.75" thickBot="1">
      <c r="A583" s="1011"/>
      <c r="B583" s="858">
        <v>92118</v>
      </c>
      <c r="C583" s="839" t="s">
        <v>90</v>
      </c>
      <c r="D583" s="859"/>
      <c r="E583" s="557">
        <f>E584+E586</f>
        <v>0</v>
      </c>
      <c r="F583" s="557">
        <f t="shared" ref="F583:G583" si="155">F584+F586</f>
        <v>229193</v>
      </c>
      <c r="G583" s="557">
        <f t="shared" si="155"/>
        <v>256637</v>
      </c>
      <c r="H583" s="558">
        <f t="shared" si="154"/>
        <v>1.1197418769334142</v>
      </c>
    </row>
    <row r="584" spans="1:8">
      <c r="A584" s="1011"/>
      <c r="B584" s="1932" t="s">
        <v>247</v>
      </c>
      <c r="C584" s="1915"/>
      <c r="D584" s="919"/>
      <c r="E584" s="560">
        <f>E585</f>
        <v>0</v>
      </c>
      <c r="F584" s="560">
        <f t="shared" ref="F584:G584" si="156">F585</f>
        <v>0</v>
      </c>
      <c r="G584" s="560">
        <f t="shared" si="156"/>
        <v>3231</v>
      </c>
      <c r="H584" s="561"/>
    </row>
    <row r="585" spans="1:8" ht="25.5">
      <c r="A585" s="1011"/>
      <c r="B585" s="904"/>
      <c r="C585" s="843" t="s">
        <v>534</v>
      </c>
      <c r="D585" s="970" t="s">
        <v>307</v>
      </c>
      <c r="E585" s="565">
        <v>0</v>
      </c>
      <c r="F585" s="565">
        <v>0</v>
      </c>
      <c r="G585" s="565">
        <v>3231</v>
      </c>
      <c r="H585" s="564"/>
    </row>
    <row r="586" spans="1:8">
      <c r="A586" s="1011"/>
      <c r="B586" s="1933" t="s">
        <v>257</v>
      </c>
      <c r="C586" s="1920"/>
      <c r="D586" s="894"/>
      <c r="E586" s="769">
        <f>E587</f>
        <v>0</v>
      </c>
      <c r="F586" s="769">
        <f t="shared" ref="F586:G586" si="157">F587</f>
        <v>229193</v>
      </c>
      <c r="G586" s="769">
        <f t="shared" si="157"/>
        <v>253406</v>
      </c>
      <c r="H586" s="770">
        <f t="shared" si="154"/>
        <v>1.1056445877491896</v>
      </c>
    </row>
    <row r="587" spans="1:8" ht="26.25" thickBot="1">
      <c r="A587" s="1011"/>
      <c r="B587" s="1007"/>
      <c r="C587" s="1008" t="s">
        <v>534</v>
      </c>
      <c r="D587" s="1009" t="s">
        <v>349</v>
      </c>
      <c r="E587" s="580">
        <v>0</v>
      </c>
      <c r="F587" s="580">
        <v>229193</v>
      </c>
      <c r="G587" s="580">
        <v>253406</v>
      </c>
      <c r="H587" s="581">
        <f t="shared" si="154"/>
        <v>1.1056445877491896</v>
      </c>
    </row>
    <row r="588" spans="1:8" s="887" customFormat="1" ht="15.75" thickBot="1">
      <c r="A588" s="1934"/>
      <c r="B588" s="858">
        <v>92195</v>
      </c>
      <c r="C588" s="839" t="s">
        <v>11</v>
      </c>
      <c r="D588" s="859"/>
      <c r="E588" s="557">
        <f>E589+E592</f>
        <v>43626</v>
      </c>
      <c r="F588" s="557">
        <f t="shared" ref="F588" si="158">F589+F592</f>
        <v>43626</v>
      </c>
      <c r="G588" s="557">
        <f>G589+G592</f>
        <v>78370</v>
      </c>
      <c r="H588" s="558">
        <f t="shared" si="154"/>
        <v>1.7964058130472653</v>
      </c>
    </row>
    <row r="589" spans="1:8">
      <c r="A589" s="1934"/>
      <c r="B589" s="1932" t="s">
        <v>247</v>
      </c>
      <c r="C589" s="1915"/>
      <c r="D589" s="1005"/>
      <c r="E589" s="560">
        <f>E590+E591</f>
        <v>43626</v>
      </c>
      <c r="F589" s="560">
        <f t="shared" ref="F589:G589" si="159">F590+F591</f>
        <v>43626</v>
      </c>
      <c r="G589" s="560">
        <f t="shared" si="159"/>
        <v>40673</v>
      </c>
      <c r="H589" s="561">
        <f t="shared" si="154"/>
        <v>0.93231100719754278</v>
      </c>
    </row>
    <row r="590" spans="1:8" ht="25.5">
      <c r="A590" s="1934"/>
      <c r="B590" s="1929"/>
      <c r="C590" s="900" t="s">
        <v>540</v>
      </c>
      <c r="D590" s="959" t="s">
        <v>313</v>
      </c>
      <c r="E590" s="563">
        <v>0</v>
      </c>
      <c r="F590" s="563">
        <v>0</v>
      </c>
      <c r="G590" s="563">
        <v>405</v>
      </c>
      <c r="H590" s="593"/>
    </row>
    <row r="591" spans="1:8" ht="53.25" customHeight="1">
      <c r="A591" s="1934"/>
      <c r="B591" s="1930"/>
      <c r="C591" s="843" t="s">
        <v>541</v>
      </c>
      <c r="D591" s="970" t="s">
        <v>384</v>
      </c>
      <c r="E591" s="565">
        <v>43626</v>
      </c>
      <c r="F591" s="565">
        <v>43626</v>
      </c>
      <c r="G591" s="565">
        <v>40268</v>
      </c>
      <c r="H591" s="564">
        <f t="shared" si="154"/>
        <v>0.92302755237702283</v>
      </c>
    </row>
    <row r="592" spans="1:8">
      <c r="A592" s="1934"/>
      <c r="B592" s="1933" t="s">
        <v>257</v>
      </c>
      <c r="C592" s="1920"/>
      <c r="D592" s="894"/>
      <c r="E592" s="769">
        <f>E593</f>
        <v>0</v>
      </c>
      <c r="F592" s="769">
        <f t="shared" ref="F592:G592" si="160">F593</f>
        <v>0</v>
      </c>
      <c r="G592" s="769">
        <f t="shared" si="160"/>
        <v>37697</v>
      </c>
      <c r="H592" s="770"/>
    </row>
    <row r="593" spans="1:8" ht="15.75" thickBot="1">
      <c r="A593" s="1012"/>
      <c r="B593" s="913"/>
      <c r="C593" s="1013" t="s">
        <v>542</v>
      </c>
      <c r="D593" s="915" t="s">
        <v>543</v>
      </c>
      <c r="E593" s="679">
        <v>0</v>
      </c>
      <c r="F593" s="679">
        <v>0</v>
      </c>
      <c r="G593" s="679">
        <v>37697</v>
      </c>
      <c r="H593" s="680"/>
    </row>
    <row r="594" spans="1:8" s="883" customFormat="1" ht="30" customHeight="1" thickBot="1">
      <c r="A594" s="834">
        <v>925</v>
      </c>
      <c r="B594" s="1014"/>
      <c r="C594" s="1015" t="s">
        <v>544</v>
      </c>
      <c r="D594" s="1016"/>
      <c r="E594" s="661">
        <f>SUM(E595,E603)</f>
        <v>700000</v>
      </c>
      <c r="F594" s="661">
        <f>SUM(F595,F603)</f>
        <v>769702</v>
      </c>
      <c r="G594" s="661">
        <f>SUM(G595,G603)</f>
        <v>773445</v>
      </c>
      <c r="H594" s="662">
        <f t="shared" si="154"/>
        <v>1.0048629209746109</v>
      </c>
    </row>
    <row r="595" spans="1:8" s="887" customFormat="1" ht="15" customHeight="1" thickBot="1">
      <c r="A595" s="1912"/>
      <c r="B595" s="884">
        <v>92502</v>
      </c>
      <c r="C595" s="885" t="s">
        <v>545</v>
      </c>
      <c r="D595" s="886"/>
      <c r="E595" s="557">
        <f>SUM(E601,E596)</f>
        <v>700000</v>
      </c>
      <c r="F595" s="557">
        <f t="shared" ref="F595:G595" si="161">SUM(F601,F596)</f>
        <v>758814</v>
      </c>
      <c r="G595" s="557">
        <f t="shared" si="161"/>
        <v>762415</v>
      </c>
      <c r="H595" s="558">
        <f t="shared" si="154"/>
        <v>1.0047455634714173</v>
      </c>
    </row>
    <row r="596" spans="1:8">
      <c r="A596" s="1913"/>
      <c r="B596" s="1915" t="s">
        <v>247</v>
      </c>
      <c r="C596" s="1916"/>
      <c r="D596" s="1005"/>
      <c r="E596" s="560">
        <f>SUM(E597:E600)</f>
        <v>700000</v>
      </c>
      <c r="F596" s="560">
        <f t="shared" ref="F596:G596" si="162">SUM(F597:F600)</f>
        <v>728814</v>
      </c>
      <c r="G596" s="560">
        <f t="shared" si="162"/>
        <v>732415</v>
      </c>
      <c r="H596" s="561">
        <f t="shared" si="154"/>
        <v>1.0049409039892208</v>
      </c>
    </row>
    <row r="597" spans="1:8" ht="16.5" customHeight="1">
      <c r="A597" s="1913"/>
      <c r="B597" s="1917"/>
      <c r="C597" s="1927" t="s">
        <v>546</v>
      </c>
      <c r="D597" s="1017" t="s">
        <v>250</v>
      </c>
      <c r="E597" s="670">
        <v>0</v>
      </c>
      <c r="F597" s="670">
        <v>3066</v>
      </c>
      <c r="G597" s="670">
        <v>4164</v>
      </c>
      <c r="H597" s="671">
        <f t="shared" si="154"/>
        <v>1.3581213307240705</v>
      </c>
    </row>
    <row r="598" spans="1:8">
      <c r="A598" s="1913"/>
      <c r="B598" s="1918"/>
      <c r="C598" s="1928"/>
      <c r="D598" s="1017" t="s">
        <v>251</v>
      </c>
      <c r="E598" s="670">
        <v>0</v>
      </c>
      <c r="F598" s="670">
        <v>0</v>
      </c>
      <c r="G598" s="670">
        <v>2513</v>
      </c>
      <c r="H598" s="671"/>
    </row>
    <row r="599" spans="1:8" ht="30.75" customHeight="1">
      <c r="A599" s="1913"/>
      <c r="B599" s="1918"/>
      <c r="C599" s="873" t="s">
        <v>495</v>
      </c>
      <c r="D599" s="1018">
        <v>2230</v>
      </c>
      <c r="E599" s="563">
        <v>700000</v>
      </c>
      <c r="F599" s="563">
        <v>700000</v>
      </c>
      <c r="G599" s="563">
        <v>699990</v>
      </c>
      <c r="H599" s="593">
        <f t="shared" si="154"/>
        <v>0.99998571428571426</v>
      </c>
    </row>
    <row r="600" spans="1:8" ht="30.75" customHeight="1">
      <c r="A600" s="1913"/>
      <c r="B600" s="1919"/>
      <c r="C600" s="873" t="s">
        <v>281</v>
      </c>
      <c r="D600" s="1019">
        <v>2460</v>
      </c>
      <c r="E600" s="565">
        <v>0</v>
      </c>
      <c r="F600" s="565">
        <v>25748</v>
      </c>
      <c r="G600" s="565">
        <v>25748</v>
      </c>
      <c r="H600" s="564">
        <f>G600/F600</f>
        <v>1</v>
      </c>
    </row>
    <row r="601" spans="1:8">
      <c r="A601" s="1913"/>
      <c r="B601" s="1920" t="s">
        <v>257</v>
      </c>
      <c r="C601" s="1921"/>
      <c r="D601" s="860"/>
      <c r="E601" s="1020">
        <v>0</v>
      </c>
      <c r="F601" s="1020">
        <f>F602</f>
        <v>30000</v>
      </c>
      <c r="G601" s="1020">
        <f>G602</f>
        <v>30000</v>
      </c>
      <c r="H601" s="1021">
        <f>G601/F601</f>
        <v>1</v>
      </c>
    </row>
    <row r="602" spans="1:8" ht="26.25" thickBot="1">
      <c r="A602" s="1913"/>
      <c r="B602" s="913"/>
      <c r="C602" s="972" t="s">
        <v>281</v>
      </c>
      <c r="D602" s="973">
        <v>6280</v>
      </c>
      <c r="E602" s="679">
        <v>0</v>
      </c>
      <c r="F602" s="679">
        <v>30000</v>
      </c>
      <c r="G602" s="679">
        <v>30000</v>
      </c>
      <c r="H602" s="680">
        <f>G602/F602</f>
        <v>1</v>
      </c>
    </row>
    <row r="603" spans="1:8" ht="15.75" thickBot="1">
      <c r="A603" s="1913"/>
      <c r="B603" s="858">
        <v>92595</v>
      </c>
      <c r="C603" s="839" t="s">
        <v>11</v>
      </c>
      <c r="D603" s="859"/>
      <c r="E603" s="557">
        <f>E604+E607</f>
        <v>0</v>
      </c>
      <c r="F603" s="557">
        <f>F604+F607</f>
        <v>10888</v>
      </c>
      <c r="G603" s="557">
        <f t="shared" ref="G603" si="163">G604+G607</f>
        <v>11030</v>
      </c>
      <c r="H603" s="558">
        <f>G603/F603</f>
        <v>1.0130418809698751</v>
      </c>
    </row>
    <row r="604" spans="1:8">
      <c r="A604" s="1913"/>
      <c r="B604" s="1915" t="s">
        <v>247</v>
      </c>
      <c r="C604" s="1915"/>
      <c r="D604" s="919"/>
      <c r="E604" s="560">
        <f>E605+E606</f>
        <v>0</v>
      </c>
      <c r="F604" s="560">
        <f t="shared" ref="F604:G604" si="164">F605+F606</f>
        <v>10888</v>
      </c>
      <c r="G604" s="560">
        <f t="shared" si="164"/>
        <v>11030</v>
      </c>
      <c r="H604" s="561">
        <f>G604/F604</f>
        <v>1.0130418809698751</v>
      </c>
    </row>
    <row r="605" spans="1:8" ht="25.5">
      <c r="A605" s="1913"/>
      <c r="B605" s="1929"/>
      <c r="C605" s="843" t="s">
        <v>547</v>
      </c>
      <c r="D605" s="970" t="s">
        <v>174</v>
      </c>
      <c r="E605" s="565">
        <v>0</v>
      </c>
      <c r="F605" s="565">
        <v>0</v>
      </c>
      <c r="G605" s="565">
        <v>143</v>
      </c>
      <c r="H605" s="564"/>
    </row>
    <row r="606" spans="1:8" ht="25.5">
      <c r="A606" s="1913"/>
      <c r="B606" s="1930"/>
      <c r="C606" s="993" t="s">
        <v>281</v>
      </c>
      <c r="D606" s="989" t="s">
        <v>526</v>
      </c>
      <c r="E606" s="624">
        <v>0</v>
      </c>
      <c r="F606" s="624">
        <v>10888</v>
      </c>
      <c r="G606" s="624">
        <v>10887</v>
      </c>
      <c r="H606" s="637">
        <f>G606/F606</f>
        <v>0.99990815576781777</v>
      </c>
    </row>
    <row r="607" spans="1:8" ht="15.75" thickBot="1">
      <c r="A607" s="1914"/>
      <c r="B607" s="1931" t="s">
        <v>252</v>
      </c>
      <c r="C607" s="1931"/>
      <c r="D607" s="890"/>
      <c r="E607" s="569">
        <v>0</v>
      </c>
      <c r="F607" s="569">
        <v>0</v>
      </c>
      <c r="G607" s="569">
        <v>0</v>
      </c>
      <c r="H607" s="570"/>
    </row>
    <row r="608" spans="1:8" ht="15.75" thickBot="1">
      <c r="A608" s="834">
        <v>926</v>
      </c>
      <c r="B608" s="1014"/>
      <c r="C608" s="1015" t="s">
        <v>142</v>
      </c>
      <c r="D608" s="1016"/>
      <c r="E608" s="661">
        <f>E609</f>
        <v>0</v>
      </c>
      <c r="F608" s="661">
        <f t="shared" ref="F608:G608" si="165">F609</f>
        <v>0</v>
      </c>
      <c r="G608" s="661">
        <f t="shared" si="165"/>
        <v>25848</v>
      </c>
      <c r="H608" s="662"/>
    </row>
    <row r="609" spans="1:8" ht="15.75" thickBot="1">
      <c r="A609" s="1912"/>
      <c r="B609" s="884">
        <v>92605</v>
      </c>
      <c r="C609" s="885" t="s">
        <v>94</v>
      </c>
      <c r="D609" s="886"/>
      <c r="E609" s="557">
        <f>SUM(E614,E610)</f>
        <v>0</v>
      </c>
      <c r="F609" s="557">
        <f t="shared" ref="F609:G609" si="166">SUM(F614,F610)</f>
        <v>0</v>
      </c>
      <c r="G609" s="557">
        <f t="shared" si="166"/>
        <v>25848</v>
      </c>
      <c r="H609" s="558"/>
    </row>
    <row r="610" spans="1:8">
      <c r="A610" s="1913"/>
      <c r="B610" s="1915" t="s">
        <v>247</v>
      </c>
      <c r="C610" s="1916"/>
      <c r="D610" s="1005"/>
      <c r="E610" s="560">
        <f>SUM(E611:E613)</f>
        <v>0</v>
      </c>
      <c r="F610" s="560">
        <f t="shared" ref="F610:G610" si="167">SUM(F611:F613)</f>
        <v>0</v>
      </c>
      <c r="G610" s="560">
        <f t="shared" si="167"/>
        <v>22624</v>
      </c>
      <c r="H610" s="561"/>
    </row>
    <row r="611" spans="1:8" ht="25.5">
      <c r="A611" s="1913"/>
      <c r="B611" s="1917"/>
      <c r="C611" s="873" t="s">
        <v>548</v>
      </c>
      <c r="D611" s="1022" t="s">
        <v>313</v>
      </c>
      <c r="E611" s="563">
        <v>0</v>
      </c>
      <c r="F611" s="563">
        <v>0</v>
      </c>
      <c r="G611" s="563">
        <v>484</v>
      </c>
      <c r="H611" s="593"/>
    </row>
    <row r="612" spans="1:8" ht="25.5">
      <c r="A612" s="1913"/>
      <c r="B612" s="1918"/>
      <c r="C612" s="873" t="s">
        <v>495</v>
      </c>
      <c r="D612" s="1018">
        <v>2910</v>
      </c>
      <c r="E612" s="563">
        <v>0</v>
      </c>
      <c r="F612" s="563">
        <v>0</v>
      </c>
      <c r="G612" s="563">
        <v>937</v>
      </c>
      <c r="H612" s="593"/>
    </row>
    <row r="613" spans="1:8" ht="25.5">
      <c r="A613" s="1913"/>
      <c r="B613" s="1919"/>
      <c r="C613" s="873" t="s">
        <v>549</v>
      </c>
      <c r="D613" s="1019">
        <v>2950</v>
      </c>
      <c r="E613" s="565">
        <v>0</v>
      </c>
      <c r="F613" s="565">
        <v>0</v>
      </c>
      <c r="G613" s="565">
        <v>21203</v>
      </c>
      <c r="H613" s="564"/>
    </row>
    <row r="614" spans="1:8">
      <c r="A614" s="1913"/>
      <c r="B614" s="1920" t="s">
        <v>257</v>
      </c>
      <c r="C614" s="1921"/>
      <c r="D614" s="860"/>
      <c r="E614" s="1020">
        <v>0</v>
      </c>
      <c r="F614" s="1020">
        <v>0</v>
      </c>
      <c r="G614" s="1020">
        <f>G615</f>
        <v>3224</v>
      </c>
      <c r="H614" s="1021"/>
    </row>
    <row r="615" spans="1:8" ht="26.25" thickBot="1">
      <c r="A615" s="1914"/>
      <c r="B615" s="913"/>
      <c r="C615" s="972" t="s">
        <v>550</v>
      </c>
      <c r="D615" s="973">
        <v>6660</v>
      </c>
      <c r="E615" s="679">
        <v>0</v>
      </c>
      <c r="F615" s="679">
        <v>0</v>
      </c>
      <c r="G615" s="679">
        <v>3224</v>
      </c>
      <c r="H615" s="680"/>
    </row>
    <row r="616" spans="1:8" ht="21.75" customHeight="1" thickBot="1">
      <c r="A616" s="1922" t="s">
        <v>551</v>
      </c>
      <c r="B616" s="1923"/>
      <c r="C616" s="1923"/>
      <c r="D616" s="1023"/>
      <c r="E616" s="1024">
        <f>E10+E60+E66+E79+E141+E156+E183+E192+E199+E284+E297+E341+E401+E444+E470+E506+E528+E554+E594+E136+E71+E279+E396+E501+E608+E274</f>
        <v>1432979955</v>
      </c>
      <c r="F616" s="1024">
        <f>F10+F60+F66+F79+F141+F156+F183+F192+F199+F284+F297+F341+F401+F444+F470+F506+F528+F554+F594+F136+F71+F279+F396+F501+F608+F274</f>
        <v>1256630391</v>
      </c>
      <c r="G616" s="1024">
        <f>G10+G60+G66+G79+G141+G156+G183+G192+G199+G284+G297+G341+G401+G444+G470+G506+G528+G554+G594+G136+G71+G279+G396+G501+G608+G274</f>
        <v>1197279447</v>
      </c>
      <c r="H616" s="1025">
        <f t="shared" si="154"/>
        <v>0.95276976872032371</v>
      </c>
    </row>
    <row r="617" spans="1:8" ht="15" customHeight="1">
      <c r="A617" s="1924" t="s">
        <v>552</v>
      </c>
      <c r="B617" s="1925"/>
      <c r="C617" s="1926"/>
      <c r="D617" s="1026"/>
      <c r="E617" s="1027"/>
      <c r="F617" s="1027"/>
      <c r="G617" s="1027"/>
      <c r="H617" s="1028"/>
    </row>
    <row r="618" spans="1:8" ht="15" customHeight="1">
      <c r="A618" s="1906" t="s">
        <v>553</v>
      </c>
      <c r="B618" s="1907"/>
      <c r="C618" s="1908"/>
      <c r="D618" s="1029"/>
      <c r="E618" s="1030">
        <f>E12+E29+E38+E44+E55+E62+E68+E81+E93+E97+E103+E108+E131+E143+E158+E166+E170+E180+E185+E194+E201+E211+E226+E231+E253+E257+E286+E293+E299+E307+E311+E315+E319+E332+E343+E352+E359+E371+E416+E437+E441+E446+E450+E459+E472+E476+E512+E519+E523+E534+E538+E544+E579+E596+E589+E138+E51+E20+E73+E206+E281+E248+E303+E348+E384+E398+E403+E412+E416+E427+E423+E432+E503+E508+E491+E529+E561+E565+E570+E575+E584+E604+E610+E277+E381+E550+E556</f>
        <v>786504071</v>
      </c>
      <c r="F618" s="1030">
        <f t="shared" ref="F618:G618" si="168">F12+F29+F38+F44+F55+F62+F68+F81+F93+F97+F103+F108+F131+F143+F158+F166+F170+F180+F185+F194+F201+F211+F226+F231+F253+F257+F286+F293+F299+F307+F311+F315+F319+F332+F343+F352+F359+F371+F416+F437+F441+F446+F450+F459+F472+F476+F512+F519+F523+F534+F538+F544+F579+F596+F589+F138+F51+F20+F73+F206+F281+F248+F303+F348+F384+F398+F403+F412+F416+F427+F423+F432+F503+F508+F491+F529+F561+F565+F570+F575+F584+F604+F610+F277+F381+F550+F556</f>
        <v>827713193</v>
      </c>
      <c r="G618" s="1030">
        <f t="shared" si="168"/>
        <v>820742431</v>
      </c>
      <c r="H618" s="1031">
        <f t="shared" si="154"/>
        <v>0.99157828815711535</v>
      </c>
    </row>
    <row r="619" spans="1:8" ht="15.75" thickBot="1">
      <c r="A619" s="1909" t="s">
        <v>554</v>
      </c>
      <c r="B619" s="1910"/>
      <c r="C619" s="1911"/>
      <c r="D619" s="1032"/>
      <c r="E619" s="1033">
        <f>E18+E33+E42+E49+E59+E65+E70+E91+E94+E101+E106+E122+E135+E151+E163+E168+E178+E182+E190+E198+E204+E223+E229+E244+E255+E272+E291+E296+E301+E309+E313+E317+E324+E338+E346+E357+E369+E378+E417+E439+E443+E448+E457+E474+E488+E517+E521+E527+E536+E542+E548+E582+E601+E592+E26+E77+E209+E283+E250+E304+E350+E394+E400+E407+E413+E430+E424+E435+E467+E505+E510+E499+E532+E563+E567+E572+E576+E582+E586+E607+E614+E559</f>
        <v>646475884</v>
      </c>
      <c r="F619" s="1033">
        <f t="shared" ref="F619:G619" si="169">F18+F33+F42+F49+F59+F65+F70+F91+F94+F101+F106+F122+F135+F151+F163+F168+F178+F182+F190+F198+F204+F223+F229+F244+F255+F272+F291+F296+F301+F309+F313+F317+F324+F338+F346+F357+F369+F378+F417+F439+F443+F448+F457+F474+F488+F517+F521+F527+F536+F542+F548+F582+F601+F592+F26+F77+F209+F283+F250+F304+F350+F394+F400+F407+F413+F430+F424+F435+F467+F505+F510+F499+F532+F563+F567+F572+F576+F582+F586+F607+F614+F559</f>
        <v>428917198</v>
      </c>
      <c r="G619" s="1033">
        <f t="shared" si="169"/>
        <v>376537016</v>
      </c>
      <c r="H619" s="1034">
        <f t="shared" si="154"/>
        <v>0.87787810271016453</v>
      </c>
    </row>
    <row r="621" spans="1:8">
      <c r="A621" s="535"/>
      <c r="B621" s="535"/>
      <c r="C621" s="646"/>
      <c r="D621" s="1035"/>
    </row>
    <row r="622" spans="1:8">
      <c r="A622" s="535"/>
      <c r="B622" s="535"/>
      <c r="C622" s="646"/>
      <c r="D622" s="1035"/>
    </row>
    <row r="623" spans="1:8">
      <c r="A623" s="535"/>
      <c r="B623" s="535"/>
      <c r="C623" s="646"/>
      <c r="D623" s="1035"/>
    </row>
    <row r="624" spans="1:8">
      <c r="A624" s="535"/>
      <c r="B624" s="535"/>
      <c r="C624" s="646"/>
      <c r="D624" s="1035"/>
    </row>
    <row r="625" spans="1:8">
      <c r="A625" s="535"/>
      <c r="B625" s="535"/>
      <c r="C625" s="646"/>
      <c r="D625" s="1035"/>
    </row>
    <row r="626" spans="1:8">
      <c r="A626" s="535"/>
      <c r="B626" s="535"/>
      <c r="C626" s="646"/>
      <c r="D626" s="1035"/>
    </row>
    <row r="627" spans="1:8">
      <c r="A627" s="535"/>
      <c r="B627" s="535"/>
      <c r="C627" s="646"/>
      <c r="D627" s="1035"/>
    </row>
    <row r="628" spans="1:8" s="533" customFormat="1">
      <c r="A628" s="535"/>
      <c r="B628" s="535"/>
      <c r="C628" s="646"/>
      <c r="D628" s="1035"/>
      <c r="H628" s="534"/>
    </row>
    <row r="629" spans="1:8" s="533" customFormat="1">
      <c r="A629" s="535"/>
      <c r="B629" s="535"/>
      <c r="C629" s="646"/>
      <c r="D629" s="1035"/>
      <c r="H629" s="534"/>
    </row>
    <row r="630" spans="1:8" s="533" customFormat="1">
      <c r="A630" s="535"/>
      <c r="B630" s="535"/>
      <c r="C630" s="646"/>
      <c r="D630" s="1035"/>
      <c r="H630" s="534"/>
    </row>
    <row r="631" spans="1:8" s="533" customFormat="1">
      <c r="A631" s="535"/>
      <c r="B631" s="535"/>
      <c r="C631" s="646"/>
      <c r="D631" s="1035"/>
      <c r="H631" s="534"/>
    </row>
    <row r="632" spans="1:8" s="533" customFormat="1">
      <c r="A632" s="535"/>
      <c r="B632" s="535"/>
      <c r="C632" s="646"/>
      <c r="D632" s="1035"/>
      <c r="H632" s="534"/>
    </row>
    <row r="633" spans="1:8" s="533" customFormat="1">
      <c r="A633" s="535"/>
      <c r="B633" s="535"/>
      <c r="C633" s="646"/>
      <c r="D633" s="1035"/>
      <c r="H633" s="534"/>
    </row>
    <row r="634" spans="1:8" s="533" customFormat="1">
      <c r="A634" s="535"/>
      <c r="B634" s="535"/>
      <c r="C634" s="646"/>
      <c r="D634" s="1035"/>
      <c r="H634" s="534"/>
    </row>
    <row r="635" spans="1:8" s="533" customFormat="1">
      <c r="A635" s="535"/>
      <c r="B635" s="535"/>
      <c r="C635" s="646"/>
      <c r="D635" s="1035"/>
      <c r="H635" s="534"/>
    </row>
    <row r="636" spans="1:8" s="533" customFormat="1">
      <c r="A636" s="535"/>
      <c r="B636" s="535"/>
      <c r="C636" s="646"/>
      <c r="D636" s="1035"/>
      <c r="H636" s="534"/>
    </row>
    <row r="637" spans="1:8" s="533" customFormat="1">
      <c r="A637" s="535"/>
      <c r="B637" s="535"/>
      <c r="C637" s="646"/>
      <c r="D637" s="1035"/>
      <c r="H637" s="534"/>
    </row>
    <row r="638" spans="1:8" s="533" customFormat="1">
      <c r="A638" s="535"/>
      <c r="B638" s="535"/>
      <c r="C638" s="646"/>
      <c r="D638" s="1035"/>
      <c r="H638" s="534"/>
    </row>
    <row r="639" spans="1:8" s="533" customFormat="1">
      <c r="A639" s="535"/>
      <c r="B639" s="535"/>
      <c r="C639" s="646"/>
      <c r="D639" s="1035"/>
      <c r="H639" s="534"/>
    </row>
    <row r="640" spans="1:8" s="533" customFormat="1">
      <c r="A640" s="535"/>
      <c r="B640" s="535"/>
      <c r="C640" s="646"/>
      <c r="D640" s="535"/>
      <c r="H640" s="534"/>
    </row>
    <row r="641" spans="1:8" s="533" customFormat="1">
      <c r="A641" s="535"/>
      <c r="B641" s="535"/>
      <c r="C641" s="646"/>
      <c r="D641" s="535"/>
      <c r="H641" s="534"/>
    </row>
    <row r="642" spans="1:8" s="533" customFormat="1">
      <c r="A642" s="535"/>
      <c r="B642" s="535"/>
      <c r="C642" s="646"/>
      <c r="D642" s="535"/>
      <c r="H642" s="534"/>
    </row>
    <row r="643" spans="1:8" s="533" customFormat="1">
      <c r="A643" s="535"/>
      <c r="B643" s="535"/>
      <c r="C643" s="646"/>
      <c r="D643" s="535"/>
      <c r="H643" s="534"/>
    </row>
    <row r="644" spans="1:8" s="533" customFormat="1">
      <c r="A644" s="535"/>
      <c r="B644" s="535"/>
      <c r="C644" s="646"/>
      <c r="D644" s="535"/>
      <c r="H644" s="534"/>
    </row>
    <row r="645" spans="1:8" s="533" customFormat="1">
      <c r="A645" s="535"/>
      <c r="B645" s="535"/>
      <c r="C645" s="646"/>
      <c r="D645" s="535"/>
      <c r="H645" s="534"/>
    </row>
    <row r="646" spans="1:8" s="533" customFormat="1">
      <c r="A646" s="535"/>
      <c r="B646" s="535"/>
      <c r="C646" s="646"/>
      <c r="D646" s="535"/>
      <c r="H646" s="534"/>
    </row>
    <row r="647" spans="1:8" s="533" customFormat="1">
      <c r="A647" s="535"/>
      <c r="B647" s="535"/>
      <c r="C647" s="646"/>
      <c r="D647" s="535"/>
      <c r="H647" s="534"/>
    </row>
    <row r="648" spans="1:8" s="533" customFormat="1">
      <c r="A648" s="535"/>
      <c r="B648" s="535"/>
      <c r="C648" s="646"/>
      <c r="D648" s="535"/>
      <c r="H648" s="534"/>
    </row>
    <row r="649" spans="1:8" s="533" customFormat="1">
      <c r="A649" s="535"/>
      <c r="B649" s="535"/>
      <c r="C649" s="646"/>
      <c r="D649" s="535"/>
      <c r="H649" s="534"/>
    </row>
    <row r="650" spans="1:8" s="533" customFormat="1">
      <c r="A650" s="535"/>
      <c r="B650" s="535"/>
      <c r="C650" s="646"/>
      <c r="D650" s="535"/>
      <c r="H650" s="534"/>
    </row>
    <row r="651" spans="1:8" s="533" customFormat="1">
      <c r="A651" s="535"/>
      <c r="B651" s="535"/>
      <c r="C651" s="646"/>
      <c r="D651" s="535"/>
      <c r="H651" s="534"/>
    </row>
    <row r="652" spans="1:8" s="533" customFormat="1">
      <c r="A652" s="535"/>
      <c r="B652" s="535"/>
      <c r="C652" s="646"/>
      <c r="D652" s="535"/>
      <c r="H652" s="534"/>
    </row>
    <row r="653" spans="1:8" s="533" customFormat="1">
      <c r="A653" s="535"/>
      <c r="B653" s="535"/>
      <c r="C653" s="646"/>
      <c r="D653" s="535"/>
      <c r="H653" s="534"/>
    </row>
    <row r="654" spans="1:8" s="533" customFormat="1">
      <c r="A654" s="535"/>
      <c r="B654" s="535"/>
      <c r="C654" s="646"/>
      <c r="D654" s="535"/>
      <c r="H654" s="534"/>
    </row>
    <row r="655" spans="1:8" s="533" customFormat="1">
      <c r="A655" s="535"/>
      <c r="B655" s="535"/>
      <c r="C655" s="646"/>
      <c r="D655" s="535"/>
      <c r="H655" s="534"/>
    </row>
    <row r="656" spans="1:8" s="533" customFormat="1">
      <c r="A656" s="535"/>
      <c r="B656" s="535"/>
      <c r="C656" s="646"/>
      <c r="D656" s="535"/>
      <c r="H656" s="534"/>
    </row>
    <row r="657" spans="1:8" s="533" customFormat="1">
      <c r="A657" s="535"/>
      <c r="B657" s="535"/>
      <c r="C657" s="646"/>
      <c r="D657" s="535"/>
      <c r="H657" s="534"/>
    </row>
    <row r="658" spans="1:8" s="533" customFormat="1">
      <c r="A658" s="535"/>
      <c r="B658" s="535"/>
      <c r="C658" s="646"/>
      <c r="D658" s="535"/>
      <c r="H658" s="534"/>
    </row>
    <row r="659" spans="1:8" s="533" customFormat="1">
      <c r="A659" s="535"/>
      <c r="B659" s="535"/>
      <c r="C659" s="646"/>
      <c r="D659" s="535"/>
      <c r="H659" s="534"/>
    </row>
    <row r="660" spans="1:8" s="533" customFormat="1">
      <c r="A660" s="535"/>
      <c r="B660" s="535"/>
      <c r="C660" s="646"/>
      <c r="D660" s="535"/>
      <c r="H660" s="534"/>
    </row>
    <row r="661" spans="1:8" s="533" customFormat="1">
      <c r="A661" s="535"/>
      <c r="B661" s="535"/>
      <c r="C661" s="646"/>
      <c r="D661" s="535"/>
      <c r="H661" s="534"/>
    </row>
    <row r="662" spans="1:8" s="533" customFormat="1">
      <c r="A662" s="535"/>
      <c r="B662" s="535"/>
      <c r="C662" s="646"/>
      <c r="D662" s="535"/>
      <c r="H662" s="534"/>
    </row>
    <row r="663" spans="1:8" s="533" customFormat="1">
      <c r="A663" s="535"/>
      <c r="B663" s="535"/>
      <c r="C663" s="646"/>
      <c r="D663" s="535"/>
      <c r="H663" s="534"/>
    </row>
    <row r="664" spans="1:8" s="533" customFormat="1">
      <c r="A664" s="535"/>
      <c r="B664" s="535"/>
      <c r="C664" s="646"/>
      <c r="D664" s="535"/>
      <c r="H664" s="534"/>
    </row>
    <row r="665" spans="1:8" s="533" customFormat="1">
      <c r="A665" s="535"/>
      <c r="B665" s="535"/>
      <c r="C665" s="646"/>
      <c r="D665" s="535"/>
      <c r="H665" s="534"/>
    </row>
    <row r="666" spans="1:8" s="533" customFormat="1">
      <c r="A666" s="535"/>
      <c r="B666" s="535"/>
      <c r="C666" s="646"/>
      <c r="D666" s="535"/>
      <c r="H666" s="534"/>
    </row>
    <row r="667" spans="1:8" s="533" customFormat="1">
      <c r="A667" s="535"/>
      <c r="B667" s="535"/>
      <c r="C667" s="646"/>
      <c r="D667" s="535"/>
      <c r="H667" s="534"/>
    </row>
    <row r="668" spans="1:8" s="533" customFormat="1">
      <c r="A668" s="535"/>
      <c r="B668" s="535"/>
      <c r="C668" s="646"/>
      <c r="D668" s="535"/>
      <c r="H668" s="534"/>
    </row>
    <row r="669" spans="1:8" s="533" customFormat="1">
      <c r="A669" s="535"/>
      <c r="B669" s="535"/>
      <c r="C669" s="646"/>
      <c r="D669" s="535"/>
      <c r="H669" s="534"/>
    </row>
    <row r="670" spans="1:8" s="533" customFormat="1">
      <c r="A670" s="535"/>
      <c r="B670" s="535"/>
      <c r="C670" s="646"/>
      <c r="D670" s="535"/>
      <c r="H670" s="534"/>
    </row>
    <row r="671" spans="1:8" s="533" customFormat="1">
      <c r="A671" s="535"/>
      <c r="B671" s="535"/>
      <c r="C671" s="646"/>
      <c r="D671" s="535"/>
      <c r="H671" s="534"/>
    </row>
    <row r="672" spans="1:8" s="533" customFormat="1">
      <c r="A672" s="535"/>
      <c r="B672" s="535"/>
      <c r="C672" s="646"/>
      <c r="D672" s="535"/>
      <c r="H672" s="534"/>
    </row>
    <row r="673" spans="1:8" s="533" customFormat="1">
      <c r="A673" s="535"/>
      <c r="B673" s="535"/>
      <c r="C673" s="646"/>
      <c r="D673" s="535"/>
      <c r="H673" s="534"/>
    </row>
    <row r="674" spans="1:8" s="533" customFormat="1">
      <c r="A674" s="535"/>
      <c r="B674" s="535"/>
      <c r="C674" s="646"/>
      <c r="D674" s="535"/>
      <c r="H674" s="534"/>
    </row>
    <row r="675" spans="1:8" s="533" customFormat="1">
      <c r="A675" s="535"/>
      <c r="B675" s="535"/>
      <c r="C675" s="646"/>
      <c r="D675" s="535"/>
      <c r="H675" s="534"/>
    </row>
    <row r="676" spans="1:8" s="533" customFormat="1">
      <c r="A676" s="535"/>
      <c r="B676" s="535"/>
      <c r="C676" s="646"/>
      <c r="D676" s="535"/>
      <c r="H676" s="534"/>
    </row>
    <row r="677" spans="1:8" s="533" customFormat="1">
      <c r="A677" s="535"/>
      <c r="B677" s="535"/>
      <c r="C677" s="646"/>
      <c r="D677" s="535"/>
      <c r="H677" s="534"/>
    </row>
    <row r="678" spans="1:8" s="533" customFormat="1">
      <c r="A678" s="535"/>
      <c r="B678" s="535"/>
      <c r="C678" s="646"/>
      <c r="D678" s="535"/>
      <c r="H678" s="534"/>
    </row>
    <row r="679" spans="1:8" s="533" customFormat="1">
      <c r="A679" s="535"/>
      <c r="B679" s="535"/>
      <c r="C679" s="646"/>
      <c r="D679" s="535"/>
      <c r="H679" s="534"/>
    </row>
    <row r="680" spans="1:8" s="533" customFormat="1">
      <c r="A680" s="535"/>
      <c r="B680" s="535"/>
      <c r="C680" s="646"/>
      <c r="D680" s="535"/>
      <c r="H680" s="534"/>
    </row>
    <row r="681" spans="1:8" s="533" customFormat="1">
      <c r="A681" s="535"/>
      <c r="B681" s="535"/>
      <c r="C681" s="646"/>
      <c r="D681" s="535"/>
      <c r="H681" s="534"/>
    </row>
    <row r="682" spans="1:8" s="533" customFormat="1">
      <c r="A682" s="535"/>
      <c r="B682" s="535"/>
      <c r="C682" s="646"/>
      <c r="D682" s="535"/>
      <c r="H682" s="534"/>
    </row>
    <row r="683" spans="1:8" s="533" customFormat="1">
      <c r="A683" s="535"/>
      <c r="B683" s="535"/>
      <c r="C683" s="646"/>
      <c r="D683" s="535"/>
      <c r="H683" s="534"/>
    </row>
    <row r="684" spans="1:8" s="533" customFormat="1">
      <c r="A684" s="535"/>
      <c r="B684" s="535"/>
      <c r="C684" s="646"/>
      <c r="D684" s="535"/>
      <c r="H684" s="534"/>
    </row>
    <row r="685" spans="1:8" s="533" customFormat="1">
      <c r="A685" s="535"/>
      <c r="B685" s="535"/>
      <c r="C685" s="646"/>
      <c r="D685" s="535"/>
      <c r="H685" s="534"/>
    </row>
    <row r="686" spans="1:8" s="533" customFormat="1">
      <c r="A686" s="535"/>
      <c r="B686" s="535"/>
      <c r="C686" s="646"/>
      <c r="D686" s="535"/>
      <c r="H686" s="534"/>
    </row>
    <row r="687" spans="1:8" s="533" customFormat="1">
      <c r="A687" s="535"/>
      <c r="B687" s="535"/>
      <c r="C687" s="646"/>
      <c r="D687" s="535"/>
      <c r="H687" s="534"/>
    </row>
    <row r="688" spans="1:8" s="533" customFormat="1">
      <c r="A688" s="535"/>
      <c r="B688" s="535"/>
      <c r="C688" s="646"/>
      <c r="D688" s="535"/>
      <c r="H688" s="534"/>
    </row>
    <row r="689" spans="1:8" s="533" customFormat="1">
      <c r="A689" s="535"/>
      <c r="B689" s="535"/>
      <c r="C689" s="646"/>
      <c r="D689" s="535"/>
      <c r="H689" s="534"/>
    </row>
    <row r="690" spans="1:8" s="533" customFormat="1">
      <c r="A690" s="535"/>
      <c r="B690" s="535"/>
      <c r="C690" s="646"/>
      <c r="D690" s="535"/>
      <c r="H690" s="534"/>
    </row>
    <row r="691" spans="1:8" s="533" customFormat="1">
      <c r="A691" s="535"/>
      <c r="B691" s="535"/>
      <c r="C691" s="646"/>
      <c r="D691" s="535"/>
      <c r="H691" s="534"/>
    </row>
    <row r="692" spans="1:8" s="533" customFormat="1">
      <c r="A692" s="535"/>
      <c r="B692" s="535"/>
      <c r="C692" s="646"/>
      <c r="D692" s="535"/>
      <c r="H692" s="534"/>
    </row>
    <row r="693" spans="1:8" s="533" customFormat="1">
      <c r="A693" s="535"/>
      <c r="B693" s="535"/>
      <c r="C693" s="646"/>
      <c r="D693" s="535"/>
      <c r="H693" s="534"/>
    </row>
    <row r="694" spans="1:8" s="533" customFormat="1">
      <c r="A694" s="535"/>
      <c r="B694" s="535"/>
      <c r="C694" s="646"/>
      <c r="D694" s="535"/>
      <c r="H694" s="534"/>
    </row>
    <row r="695" spans="1:8" s="533" customFormat="1">
      <c r="A695" s="535"/>
      <c r="B695" s="535"/>
      <c r="C695" s="646"/>
      <c r="D695" s="535"/>
      <c r="H695" s="534"/>
    </row>
    <row r="696" spans="1:8" s="533" customFormat="1">
      <c r="A696" s="535"/>
      <c r="B696" s="535"/>
      <c r="C696" s="646"/>
      <c r="D696" s="535"/>
      <c r="H696" s="534"/>
    </row>
    <row r="697" spans="1:8" s="533" customFormat="1">
      <c r="A697" s="535"/>
      <c r="B697" s="535"/>
      <c r="C697" s="646"/>
      <c r="D697" s="535"/>
      <c r="H697" s="534"/>
    </row>
    <row r="698" spans="1:8" s="533" customFormat="1">
      <c r="A698" s="535"/>
      <c r="B698" s="535"/>
      <c r="C698" s="646"/>
      <c r="D698" s="535"/>
      <c r="H698" s="534"/>
    </row>
    <row r="699" spans="1:8" s="533" customFormat="1">
      <c r="A699" s="535"/>
      <c r="B699" s="535"/>
      <c r="C699" s="646"/>
      <c r="D699" s="535"/>
      <c r="H699" s="534"/>
    </row>
    <row r="700" spans="1:8" s="533" customFormat="1">
      <c r="A700" s="535"/>
      <c r="B700" s="535"/>
      <c r="C700" s="646"/>
      <c r="D700" s="535"/>
      <c r="H700" s="534"/>
    </row>
    <row r="701" spans="1:8" s="533" customFormat="1">
      <c r="A701" s="535"/>
      <c r="B701" s="535"/>
      <c r="C701" s="646"/>
      <c r="D701" s="535"/>
      <c r="H701" s="534"/>
    </row>
    <row r="702" spans="1:8" s="533" customFormat="1">
      <c r="A702" s="535"/>
      <c r="B702" s="535"/>
      <c r="C702" s="646"/>
      <c r="D702" s="535"/>
      <c r="H702" s="534"/>
    </row>
    <row r="703" spans="1:8" s="533" customFormat="1">
      <c r="A703" s="535"/>
      <c r="B703" s="535"/>
      <c r="C703" s="646"/>
      <c r="D703" s="535"/>
      <c r="H703" s="534"/>
    </row>
    <row r="704" spans="1:8" s="533" customFormat="1">
      <c r="A704" s="535"/>
      <c r="B704" s="535"/>
      <c r="C704" s="646"/>
      <c r="D704" s="535"/>
      <c r="H704" s="534"/>
    </row>
    <row r="705" spans="1:8" s="533" customFormat="1">
      <c r="A705" s="535"/>
      <c r="B705" s="535"/>
      <c r="C705" s="646"/>
      <c r="D705" s="535"/>
      <c r="H705" s="534"/>
    </row>
    <row r="706" spans="1:8" s="533" customFormat="1">
      <c r="A706" s="535"/>
      <c r="B706" s="535"/>
      <c r="C706" s="646"/>
      <c r="D706" s="535"/>
      <c r="H706" s="534"/>
    </row>
    <row r="707" spans="1:8" s="533" customFormat="1">
      <c r="A707" s="535"/>
      <c r="B707" s="535"/>
      <c r="C707" s="646"/>
      <c r="D707" s="535"/>
      <c r="H707" s="534"/>
    </row>
    <row r="708" spans="1:8" s="533" customFormat="1">
      <c r="A708" s="535"/>
      <c r="B708" s="535"/>
      <c r="C708" s="646"/>
      <c r="D708" s="535"/>
      <c r="H708" s="534"/>
    </row>
    <row r="709" spans="1:8" s="533" customFormat="1">
      <c r="A709" s="535"/>
      <c r="B709" s="535"/>
      <c r="C709" s="646"/>
      <c r="D709" s="535"/>
      <c r="H709" s="534"/>
    </row>
    <row r="710" spans="1:8" s="533" customFormat="1">
      <c r="A710" s="535"/>
      <c r="B710" s="535"/>
      <c r="C710" s="646"/>
      <c r="D710" s="535"/>
      <c r="H710" s="534"/>
    </row>
    <row r="711" spans="1:8" s="533" customFormat="1">
      <c r="A711" s="535"/>
      <c r="B711" s="535"/>
      <c r="C711" s="646"/>
      <c r="D711" s="535"/>
      <c r="H711" s="534"/>
    </row>
    <row r="712" spans="1:8" s="533" customFormat="1">
      <c r="A712" s="535"/>
      <c r="B712" s="535"/>
      <c r="C712" s="646"/>
      <c r="D712" s="535"/>
      <c r="H712" s="534"/>
    </row>
    <row r="713" spans="1:8" s="533" customFormat="1">
      <c r="A713" s="535"/>
      <c r="B713" s="535"/>
      <c r="C713" s="646"/>
      <c r="D713" s="535"/>
      <c r="H713" s="534"/>
    </row>
    <row r="714" spans="1:8" s="533" customFormat="1">
      <c r="A714" s="535"/>
      <c r="B714" s="535"/>
      <c r="C714" s="646"/>
      <c r="D714" s="535"/>
      <c r="H714" s="534"/>
    </row>
    <row r="715" spans="1:8" s="533" customFormat="1">
      <c r="A715" s="535"/>
      <c r="B715" s="535"/>
      <c r="C715" s="646"/>
      <c r="D715" s="535"/>
      <c r="H715" s="534"/>
    </row>
    <row r="716" spans="1:8" s="533" customFormat="1">
      <c r="A716" s="535"/>
      <c r="B716" s="535"/>
      <c r="C716" s="646"/>
      <c r="D716" s="535"/>
      <c r="H716" s="534"/>
    </row>
    <row r="717" spans="1:8" s="533" customFormat="1">
      <c r="A717" s="535"/>
      <c r="B717" s="535"/>
      <c r="C717" s="646"/>
      <c r="D717" s="535"/>
      <c r="H717" s="534"/>
    </row>
    <row r="718" spans="1:8" s="533" customFormat="1">
      <c r="A718" s="535"/>
      <c r="B718" s="535"/>
      <c r="C718" s="646"/>
      <c r="D718" s="535"/>
      <c r="H718" s="534"/>
    </row>
    <row r="719" spans="1:8" s="533" customFormat="1">
      <c r="A719" s="535"/>
      <c r="B719" s="535"/>
      <c r="C719" s="646"/>
      <c r="D719" s="535"/>
      <c r="H719" s="534"/>
    </row>
    <row r="720" spans="1:8" s="533" customFormat="1">
      <c r="A720" s="535"/>
      <c r="B720" s="535"/>
      <c r="C720" s="646"/>
      <c r="D720" s="535"/>
      <c r="H720" s="534"/>
    </row>
    <row r="721" spans="1:8" s="533" customFormat="1">
      <c r="A721" s="535"/>
      <c r="B721" s="535"/>
      <c r="C721" s="646"/>
      <c r="D721" s="535"/>
      <c r="H721" s="534"/>
    </row>
    <row r="722" spans="1:8" s="533" customFormat="1">
      <c r="A722" s="535"/>
      <c r="B722" s="535"/>
      <c r="C722" s="646"/>
      <c r="D722" s="535"/>
      <c r="H722" s="534"/>
    </row>
    <row r="723" spans="1:8" s="533" customFormat="1">
      <c r="A723" s="535"/>
      <c r="B723" s="535"/>
      <c r="C723" s="646"/>
      <c r="D723" s="535"/>
      <c r="H723" s="534"/>
    </row>
    <row r="724" spans="1:8" s="533" customFormat="1">
      <c r="A724" s="535"/>
      <c r="B724" s="535"/>
      <c r="C724" s="646"/>
      <c r="D724" s="535"/>
      <c r="H724" s="534"/>
    </row>
    <row r="725" spans="1:8" s="533" customFormat="1">
      <c r="A725" s="535"/>
      <c r="B725" s="535"/>
      <c r="C725" s="646"/>
      <c r="D725" s="535"/>
      <c r="H725" s="534"/>
    </row>
    <row r="726" spans="1:8" s="533" customFormat="1">
      <c r="A726" s="535"/>
      <c r="B726" s="535"/>
      <c r="C726" s="646"/>
      <c r="D726" s="535"/>
      <c r="H726" s="534"/>
    </row>
    <row r="727" spans="1:8" s="533" customFormat="1">
      <c r="A727" s="535"/>
      <c r="B727" s="535"/>
      <c r="C727" s="646"/>
      <c r="D727" s="535"/>
      <c r="H727" s="534"/>
    </row>
    <row r="728" spans="1:8" s="533" customFormat="1">
      <c r="A728" s="535"/>
      <c r="B728" s="535"/>
      <c r="C728" s="646"/>
      <c r="D728" s="535"/>
      <c r="H728" s="534"/>
    </row>
    <row r="729" spans="1:8" s="533" customFormat="1">
      <c r="A729" s="535"/>
      <c r="B729" s="535"/>
      <c r="C729" s="646"/>
      <c r="D729" s="535"/>
      <c r="H729" s="534"/>
    </row>
    <row r="730" spans="1:8" s="533" customFormat="1">
      <c r="A730" s="535"/>
      <c r="B730" s="535"/>
      <c r="C730" s="646"/>
      <c r="D730" s="535"/>
      <c r="H730" s="534"/>
    </row>
    <row r="731" spans="1:8" s="533" customFormat="1">
      <c r="A731" s="535"/>
      <c r="B731" s="535"/>
      <c r="C731" s="646"/>
      <c r="D731" s="535"/>
      <c r="H731" s="534"/>
    </row>
    <row r="732" spans="1:8" s="533" customFormat="1">
      <c r="A732" s="535"/>
      <c r="B732" s="535"/>
      <c r="C732" s="646"/>
      <c r="D732" s="535"/>
      <c r="H732" s="534"/>
    </row>
    <row r="733" spans="1:8" s="533" customFormat="1">
      <c r="A733" s="535"/>
      <c r="B733" s="535"/>
      <c r="C733" s="646"/>
      <c r="D733" s="535"/>
      <c r="H733" s="534"/>
    </row>
    <row r="734" spans="1:8" s="533" customFormat="1">
      <c r="A734" s="535"/>
      <c r="B734" s="535"/>
      <c r="C734" s="646"/>
      <c r="D734" s="535"/>
      <c r="H734" s="534"/>
    </row>
    <row r="735" spans="1:8" s="533" customFormat="1">
      <c r="A735" s="535"/>
      <c r="B735" s="535"/>
      <c r="C735" s="646"/>
      <c r="D735" s="535"/>
      <c r="H735" s="534"/>
    </row>
    <row r="736" spans="1:8" s="533" customFormat="1">
      <c r="A736" s="535"/>
      <c r="B736" s="535"/>
      <c r="C736" s="646"/>
      <c r="D736" s="535"/>
      <c r="H736" s="534"/>
    </row>
    <row r="737" spans="1:8" s="533" customFormat="1">
      <c r="A737" s="535"/>
      <c r="B737" s="535"/>
      <c r="C737" s="646"/>
      <c r="D737" s="535"/>
      <c r="H737" s="534"/>
    </row>
    <row r="738" spans="1:8" s="533" customFormat="1">
      <c r="A738" s="535"/>
      <c r="B738" s="535"/>
      <c r="C738" s="646"/>
      <c r="D738" s="535"/>
      <c r="H738" s="534"/>
    </row>
    <row r="739" spans="1:8" s="533" customFormat="1">
      <c r="A739" s="535"/>
      <c r="B739" s="535"/>
      <c r="C739" s="646"/>
      <c r="D739" s="535"/>
      <c r="H739" s="534"/>
    </row>
    <row r="740" spans="1:8" s="533" customFormat="1">
      <c r="A740" s="535"/>
      <c r="B740" s="535"/>
      <c r="C740" s="646"/>
      <c r="D740" s="535"/>
      <c r="H740" s="534"/>
    </row>
    <row r="741" spans="1:8" s="533" customFormat="1">
      <c r="A741" s="535"/>
      <c r="B741" s="535"/>
      <c r="C741" s="646"/>
      <c r="D741" s="535"/>
      <c r="H741" s="534"/>
    </row>
    <row r="742" spans="1:8" s="533" customFormat="1">
      <c r="A742" s="535"/>
      <c r="B742" s="535"/>
      <c r="C742" s="646"/>
      <c r="D742" s="535"/>
      <c r="H742" s="534"/>
    </row>
    <row r="743" spans="1:8" s="533" customFormat="1">
      <c r="A743" s="535"/>
      <c r="B743" s="535"/>
      <c r="C743" s="646"/>
      <c r="D743" s="535"/>
      <c r="H743" s="534"/>
    </row>
    <row r="744" spans="1:8" s="533" customFormat="1">
      <c r="A744" s="535"/>
      <c r="B744" s="535"/>
      <c r="C744" s="646"/>
      <c r="D744" s="535"/>
      <c r="H744" s="534"/>
    </row>
    <row r="745" spans="1:8" s="533" customFormat="1">
      <c r="A745" s="535"/>
      <c r="B745" s="535"/>
      <c r="C745" s="646"/>
      <c r="D745" s="535"/>
      <c r="H745" s="534"/>
    </row>
    <row r="746" spans="1:8" s="533" customFormat="1">
      <c r="A746" s="535"/>
      <c r="B746" s="535"/>
      <c r="C746" s="646"/>
      <c r="D746" s="535"/>
      <c r="H746" s="534"/>
    </row>
    <row r="747" spans="1:8" s="533" customFormat="1">
      <c r="A747" s="535"/>
      <c r="B747" s="535"/>
      <c r="C747" s="646"/>
      <c r="D747" s="535"/>
      <c r="H747" s="534"/>
    </row>
    <row r="748" spans="1:8" s="533" customFormat="1">
      <c r="A748" s="535"/>
      <c r="B748" s="535"/>
      <c r="C748" s="646"/>
      <c r="D748" s="535"/>
      <c r="H748" s="534"/>
    </row>
    <row r="749" spans="1:8" s="533" customFormat="1">
      <c r="A749" s="535"/>
      <c r="B749" s="535"/>
      <c r="C749" s="646"/>
      <c r="D749" s="535"/>
      <c r="H749" s="534"/>
    </row>
    <row r="750" spans="1:8" s="533" customFormat="1">
      <c r="A750" s="535"/>
      <c r="B750" s="535"/>
      <c r="C750" s="646"/>
      <c r="D750" s="535"/>
      <c r="H750" s="534"/>
    </row>
    <row r="751" spans="1:8" s="533" customFormat="1">
      <c r="A751" s="535"/>
      <c r="B751" s="535"/>
      <c r="C751" s="646"/>
      <c r="D751" s="535"/>
      <c r="H751" s="534"/>
    </row>
    <row r="752" spans="1:8" s="533" customFormat="1">
      <c r="A752" s="535"/>
      <c r="B752" s="535"/>
      <c r="C752" s="646"/>
      <c r="D752" s="535"/>
      <c r="H752" s="534"/>
    </row>
    <row r="753" spans="1:8" s="533" customFormat="1">
      <c r="A753" s="535"/>
      <c r="B753" s="535"/>
      <c r="C753" s="646"/>
      <c r="D753" s="535"/>
      <c r="H753" s="534"/>
    </row>
    <row r="754" spans="1:8" s="533" customFormat="1">
      <c r="A754" s="535"/>
      <c r="B754" s="535"/>
      <c r="C754" s="646"/>
      <c r="D754" s="535"/>
      <c r="H754" s="534"/>
    </row>
    <row r="755" spans="1:8" s="533" customFormat="1">
      <c r="A755" s="535"/>
      <c r="B755" s="535"/>
      <c r="C755" s="646"/>
      <c r="D755" s="535"/>
      <c r="H755" s="534"/>
    </row>
    <row r="756" spans="1:8" s="533" customFormat="1">
      <c r="A756" s="535"/>
      <c r="B756" s="535"/>
      <c r="C756" s="646"/>
      <c r="D756" s="535"/>
      <c r="H756" s="534"/>
    </row>
    <row r="757" spans="1:8" s="533" customFormat="1">
      <c r="A757" s="535"/>
      <c r="B757" s="535"/>
      <c r="C757" s="646"/>
      <c r="D757" s="535"/>
      <c r="H757" s="534"/>
    </row>
    <row r="758" spans="1:8" s="533" customFormat="1">
      <c r="A758" s="535"/>
      <c r="B758" s="535"/>
      <c r="C758" s="646"/>
      <c r="D758" s="535"/>
      <c r="H758" s="534"/>
    </row>
    <row r="759" spans="1:8" s="533" customFormat="1">
      <c r="A759" s="535"/>
      <c r="B759" s="535"/>
      <c r="C759" s="646"/>
      <c r="D759" s="535"/>
      <c r="H759" s="534"/>
    </row>
    <row r="760" spans="1:8" s="533" customFormat="1">
      <c r="A760" s="535"/>
      <c r="B760" s="535"/>
      <c r="C760" s="646"/>
      <c r="D760" s="535"/>
      <c r="H760" s="534"/>
    </row>
    <row r="761" spans="1:8" s="533" customFormat="1">
      <c r="A761" s="535"/>
      <c r="B761" s="535"/>
      <c r="C761" s="646"/>
      <c r="D761" s="535"/>
      <c r="H761" s="534"/>
    </row>
    <row r="762" spans="1:8" s="533" customFormat="1">
      <c r="A762" s="535"/>
      <c r="B762" s="535"/>
      <c r="C762" s="646"/>
      <c r="D762" s="535"/>
      <c r="H762" s="534"/>
    </row>
    <row r="763" spans="1:8" s="533" customFormat="1">
      <c r="A763" s="535"/>
      <c r="B763" s="535"/>
      <c r="C763" s="646"/>
      <c r="D763" s="535"/>
      <c r="H763" s="534"/>
    </row>
    <row r="764" spans="1:8" s="533" customFormat="1">
      <c r="A764" s="535"/>
      <c r="B764" s="535"/>
      <c r="C764" s="646"/>
      <c r="D764" s="535"/>
      <c r="H764" s="534"/>
    </row>
    <row r="765" spans="1:8" s="533" customFormat="1">
      <c r="A765" s="535"/>
      <c r="B765" s="535"/>
      <c r="C765" s="646"/>
      <c r="D765" s="535"/>
      <c r="H765" s="534"/>
    </row>
    <row r="766" spans="1:8" s="533" customFormat="1">
      <c r="A766" s="535"/>
      <c r="B766" s="535"/>
      <c r="C766" s="646"/>
      <c r="D766" s="535"/>
      <c r="H766" s="534"/>
    </row>
    <row r="767" spans="1:8" s="533" customFormat="1">
      <c r="A767" s="535"/>
      <c r="B767" s="535"/>
      <c r="C767" s="646"/>
      <c r="D767" s="535"/>
      <c r="H767" s="534"/>
    </row>
    <row r="768" spans="1:8" s="533" customFormat="1">
      <c r="A768" s="535"/>
      <c r="B768" s="535"/>
      <c r="C768" s="646"/>
      <c r="D768" s="535"/>
      <c r="H768" s="534"/>
    </row>
    <row r="769" spans="1:8" s="533" customFormat="1">
      <c r="A769" s="535"/>
      <c r="B769" s="535"/>
      <c r="C769" s="646"/>
      <c r="D769" s="535"/>
      <c r="H769" s="534"/>
    </row>
    <row r="770" spans="1:8" s="533" customFormat="1">
      <c r="A770" s="535"/>
      <c r="B770" s="535"/>
      <c r="C770" s="646"/>
      <c r="D770" s="535"/>
      <c r="H770" s="534"/>
    </row>
    <row r="771" spans="1:8" s="533" customFormat="1">
      <c r="A771" s="535"/>
      <c r="B771" s="535"/>
      <c r="C771" s="646"/>
      <c r="D771" s="535"/>
      <c r="H771" s="534"/>
    </row>
    <row r="772" spans="1:8" s="533" customFormat="1">
      <c r="A772" s="535"/>
      <c r="B772" s="535"/>
      <c r="C772" s="646"/>
      <c r="D772" s="535"/>
      <c r="H772" s="534"/>
    </row>
    <row r="773" spans="1:8" s="533" customFormat="1">
      <c r="A773" s="535"/>
      <c r="B773" s="535"/>
      <c r="C773" s="646"/>
      <c r="D773" s="535"/>
      <c r="H773" s="534"/>
    </row>
    <row r="774" spans="1:8" s="533" customFormat="1">
      <c r="A774" s="535"/>
      <c r="B774" s="535"/>
      <c r="C774" s="646"/>
      <c r="D774" s="535"/>
      <c r="H774" s="534"/>
    </row>
    <row r="775" spans="1:8" s="533" customFormat="1">
      <c r="A775" s="535"/>
      <c r="B775" s="535"/>
      <c r="C775" s="646"/>
      <c r="D775" s="535"/>
      <c r="H775" s="534"/>
    </row>
    <row r="776" spans="1:8" s="533" customFormat="1">
      <c r="A776" s="535"/>
      <c r="B776" s="535"/>
      <c r="C776" s="646"/>
      <c r="D776" s="535"/>
      <c r="H776" s="534"/>
    </row>
    <row r="777" spans="1:8" s="533" customFormat="1">
      <c r="A777" s="535"/>
      <c r="B777" s="535"/>
      <c r="C777" s="646"/>
      <c r="D777" s="535"/>
      <c r="H777" s="534"/>
    </row>
    <row r="778" spans="1:8" s="533" customFormat="1">
      <c r="A778" s="535"/>
      <c r="B778" s="535"/>
      <c r="C778" s="646"/>
      <c r="D778" s="535"/>
      <c r="H778" s="534"/>
    </row>
    <row r="779" spans="1:8" s="533" customFormat="1">
      <c r="A779" s="535"/>
      <c r="B779" s="535"/>
      <c r="C779" s="646"/>
      <c r="D779" s="535"/>
      <c r="H779" s="534"/>
    </row>
    <row r="780" spans="1:8" s="533" customFormat="1">
      <c r="A780" s="535"/>
      <c r="B780" s="535"/>
      <c r="C780" s="646"/>
      <c r="D780" s="535"/>
      <c r="H780" s="534"/>
    </row>
    <row r="781" spans="1:8" s="533" customFormat="1">
      <c r="A781" s="535"/>
      <c r="B781" s="535"/>
      <c r="C781" s="646"/>
      <c r="D781" s="535"/>
      <c r="H781" s="534"/>
    </row>
    <row r="782" spans="1:8" s="533" customFormat="1">
      <c r="A782" s="535"/>
      <c r="B782" s="535"/>
      <c r="C782" s="646"/>
      <c r="D782" s="535"/>
      <c r="H782" s="534"/>
    </row>
    <row r="783" spans="1:8" s="533" customFormat="1">
      <c r="A783" s="535"/>
      <c r="B783" s="535"/>
      <c r="C783" s="646"/>
      <c r="D783" s="535"/>
      <c r="H783" s="534"/>
    </row>
    <row r="784" spans="1:8" s="533" customFormat="1">
      <c r="A784" s="535"/>
      <c r="B784" s="535"/>
      <c r="C784" s="646"/>
      <c r="D784" s="535"/>
      <c r="H784" s="534"/>
    </row>
    <row r="785" spans="1:8" s="533" customFormat="1">
      <c r="A785" s="535"/>
      <c r="B785" s="535"/>
      <c r="C785" s="646"/>
      <c r="D785" s="535"/>
      <c r="H785" s="534"/>
    </row>
    <row r="786" spans="1:8" s="533" customFormat="1">
      <c r="A786" s="535"/>
      <c r="B786" s="535"/>
      <c r="C786" s="646"/>
      <c r="D786" s="535"/>
      <c r="H786" s="534"/>
    </row>
    <row r="787" spans="1:8" s="533" customFormat="1">
      <c r="A787" s="535"/>
      <c r="B787" s="535"/>
      <c r="C787" s="646"/>
      <c r="D787" s="535"/>
      <c r="H787" s="534"/>
    </row>
    <row r="788" spans="1:8" s="533" customFormat="1">
      <c r="A788" s="535"/>
      <c r="B788" s="535"/>
      <c r="C788" s="646"/>
      <c r="D788" s="535"/>
      <c r="H788" s="534"/>
    </row>
    <row r="789" spans="1:8" s="533" customFormat="1">
      <c r="A789" s="535"/>
      <c r="B789" s="535"/>
      <c r="C789" s="646"/>
      <c r="D789" s="535"/>
      <c r="H789" s="534"/>
    </row>
    <row r="790" spans="1:8" s="533" customFormat="1">
      <c r="A790" s="535"/>
      <c r="B790" s="535"/>
      <c r="C790" s="646"/>
      <c r="D790" s="535"/>
      <c r="H790" s="534"/>
    </row>
    <row r="791" spans="1:8" s="533" customFormat="1">
      <c r="A791" s="535"/>
      <c r="B791" s="535"/>
      <c r="C791" s="646"/>
      <c r="D791" s="535"/>
      <c r="H791" s="534"/>
    </row>
    <row r="792" spans="1:8" s="533" customFormat="1">
      <c r="A792" s="535"/>
      <c r="B792" s="535"/>
      <c r="C792" s="646"/>
      <c r="D792" s="535"/>
      <c r="H792" s="534"/>
    </row>
    <row r="793" spans="1:8" s="533" customFormat="1">
      <c r="A793" s="535"/>
      <c r="B793" s="535"/>
      <c r="C793" s="646"/>
      <c r="D793" s="535"/>
      <c r="H793" s="534"/>
    </row>
    <row r="794" spans="1:8" s="533" customFormat="1">
      <c r="A794" s="535"/>
      <c r="B794" s="535"/>
      <c r="C794" s="646"/>
      <c r="D794" s="535"/>
      <c r="H794" s="534"/>
    </row>
    <row r="795" spans="1:8" s="533" customFormat="1">
      <c r="A795" s="535"/>
      <c r="B795" s="535"/>
      <c r="C795" s="646"/>
      <c r="D795" s="535"/>
      <c r="H795" s="534"/>
    </row>
    <row r="796" spans="1:8" s="533" customFormat="1">
      <c r="A796" s="535"/>
      <c r="B796" s="535"/>
      <c r="C796" s="646"/>
      <c r="D796" s="535"/>
      <c r="H796" s="534"/>
    </row>
    <row r="797" spans="1:8" s="533" customFormat="1">
      <c r="A797" s="535"/>
      <c r="B797" s="535"/>
      <c r="C797" s="646"/>
      <c r="D797" s="535"/>
      <c r="H797" s="534"/>
    </row>
    <row r="798" spans="1:8" s="533" customFormat="1">
      <c r="A798" s="535"/>
      <c r="B798" s="535"/>
      <c r="C798" s="646"/>
      <c r="D798" s="535"/>
      <c r="H798" s="534"/>
    </row>
    <row r="799" spans="1:8" s="533" customFormat="1">
      <c r="A799" s="535"/>
      <c r="B799" s="535"/>
      <c r="C799" s="646"/>
      <c r="D799" s="535"/>
      <c r="H799" s="534"/>
    </row>
    <row r="800" spans="1:8" s="533" customFormat="1">
      <c r="A800" s="535"/>
      <c r="B800" s="535"/>
      <c r="C800" s="646"/>
      <c r="D800" s="535"/>
      <c r="H800" s="534"/>
    </row>
    <row r="801" spans="1:8" s="533" customFormat="1">
      <c r="A801" s="535"/>
      <c r="B801" s="535"/>
      <c r="C801" s="646"/>
      <c r="D801" s="535"/>
      <c r="H801" s="534"/>
    </row>
    <row r="802" spans="1:8" s="533" customFormat="1">
      <c r="A802" s="535"/>
      <c r="B802" s="535"/>
      <c r="C802" s="646"/>
      <c r="D802" s="535"/>
      <c r="H802" s="534"/>
    </row>
    <row r="803" spans="1:8" s="533" customFormat="1">
      <c r="A803" s="535"/>
      <c r="B803" s="535"/>
      <c r="C803" s="646"/>
      <c r="D803" s="535"/>
      <c r="H803" s="534"/>
    </row>
    <row r="804" spans="1:8" s="533" customFormat="1">
      <c r="A804" s="535"/>
      <c r="B804" s="535"/>
      <c r="C804" s="646"/>
      <c r="D804" s="535"/>
      <c r="H804" s="534"/>
    </row>
    <row r="805" spans="1:8" s="533" customFormat="1">
      <c r="A805" s="535"/>
      <c r="B805" s="535"/>
      <c r="C805" s="646"/>
      <c r="D805" s="535"/>
      <c r="H805" s="534"/>
    </row>
    <row r="806" spans="1:8" s="533" customFormat="1">
      <c r="A806" s="535"/>
      <c r="B806" s="535"/>
      <c r="C806" s="646"/>
      <c r="D806" s="535"/>
      <c r="H806" s="534"/>
    </row>
    <row r="807" spans="1:8" s="533" customFormat="1">
      <c r="A807" s="535"/>
      <c r="B807" s="535"/>
      <c r="C807" s="646"/>
      <c r="D807" s="535"/>
      <c r="H807" s="534"/>
    </row>
    <row r="808" spans="1:8" s="533" customFormat="1">
      <c r="A808" s="535"/>
      <c r="B808" s="535"/>
      <c r="C808" s="646"/>
      <c r="D808" s="535"/>
      <c r="H808" s="534"/>
    </row>
    <row r="809" spans="1:8" s="533" customFormat="1">
      <c r="A809" s="535"/>
      <c r="B809" s="535"/>
      <c r="C809" s="646"/>
      <c r="D809" s="535"/>
      <c r="H809" s="534"/>
    </row>
    <row r="810" spans="1:8" s="533" customFormat="1">
      <c r="A810" s="535"/>
      <c r="B810" s="535"/>
      <c r="C810" s="646"/>
      <c r="D810" s="535"/>
      <c r="H810" s="534"/>
    </row>
    <row r="811" spans="1:8" s="533" customFormat="1">
      <c r="A811" s="535"/>
      <c r="B811" s="535"/>
      <c r="C811" s="646"/>
      <c r="D811" s="535"/>
      <c r="H811" s="534"/>
    </row>
    <row r="812" spans="1:8" s="533" customFormat="1">
      <c r="A812" s="535"/>
      <c r="B812" s="535"/>
      <c r="C812" s="646"/>
      <c r="D812" s="535"/>
      <c r="H812" s="534"/>
    </row>
    <row r="813" spans="1:8" s="533" customFormat="1">
      <c r="A813" s="535"/>
      <c r="B813" s="535"/>
      <c r="C813" s="646"/>
      <c r="D813" s="535"/>
      <c r="H813" s="534"/>
    </row>
    <row r="814" spans="1:8" s="533" customFormat="1">
      <c r="A814" s="535"/>
      <c r="B814" s="535"/>
      <c r="C814" s="646"/>
      <c r="D814" s="535"/>
      <c r="H814" s="534"/>
    </row>
    <row r="815" spans="1:8" s="533" customFormat="1">
      <c r="A815" s="535"/>
      <c r="B815" s="535"/>
      <c r="C815" s="646"/>
      <c r="D815" s="535"/>
      <c r="H815" s="534"/>
    </row>
    <row r="816" spans="1:8" s="533" customFormat="1">
      <c r="A816" s="535"/>
      <c r="B816" s="535"/>
      <c r="C816" s="646"/>
      <c r="D816" s="535"/>
      <c r="H816" s="534"/>
    </row>
    <row r="817" spans="1:8" s="533" customFormat="1">
      <c r="A817" s="535"/>
      <c r="B817" s="535"/>
      <c r="C817" s="646"/>
      <c r="D817" s="535"/>
      <c r="H817" s="534"/>
    </row>
    <row r="818" spans="1:8" s="533" customFormat="1">
      <c r="A818" s="535"/>
      <c r="B818" s="535"/>
      <c r="C818" s="646"/>
      <c r="D818" s="535"/>
      <c r="H818" s="534"/>
    </row>
    <row r="819" spans="1:8" s="533" customFormat="1">
      <c r="A819" s="535"/>
      <c r="B819" s="535"/>
      <c r="C819" s="646"/>
      <c r="D819" s="535"/>
      <c r="H819" s="534"/>
    </row>
    <row r="820" spans="1:8" s="533" customFormat="1">
      <c r="A820" s="535"/>
      <c r="B820" s="535"/>
      <c r="C820" s="646"/>
      <c r="D820" s="535"/>
      <c r="H820" s="534"/>
    </row>
    <row r="821" spans="1:8" s="533" customFormat="1">
      <c r="A821" s="535"/>
      <c r="B821" s="535"/>
      <c r="C821" s="646"/>
      <c r="D821" s="535"/>
      <c r="H821" s="534"/>
    </row>
    <row r="822" spans="1:8" s="533" customFormat="1">
      <c r="A822" s="535"/>
      <c r="B822" s="535"/>
      <c r="C822" s="646"/>
      <c r="D822" s="535"/>
      <c r="H822" s="534"/>
    </row>
    <row r="823" spans="1:8" s="533" customFormat="1">
      <c r="A823" s="535"/>
      <c r="B823" s="535"/>
      <c r="C823" s="646"/>
      <c r="D823" s="535"/>
      <c r="H823" s="534"/>
    </row>
    <row r="824" spans="1:8" s="533" customFormat="1">
      <c r="A824" s="535"/>
      <c r="B824" s="535"/>
      <c r="C824" s="646"/>
      <c r="D824" s="535"/>
      <c r="H824" s="534"/>
    </row>
    <row r="825" spans="1:8" s="533" customFormat="1">
      <c r="A825" s="535"/>
      <c r="B825" s="535"/>
      <c r="C825" s="646"/>
      <c r="D825" s="535"/>
      <c r="H825" s="534"/>
    </row>
    <row r="826" spans="1:8" s="533" customFormat="1">
      <c r="A826" s="535"/>
      <c r="B826" s="535"/>
      <c r="C826" s="646"/>
      <c r="D826" s="535"/>
      <c r="H826" s="534"/>
    </row>
    <row r="827" spans="1:8" s="533" customFormat="1">
      <c r="A827" s="535"/>
      <c r="B827" s="535"/>
      <c r="C827" s="646"/>
      <c r="D827" s="535"/>
      <c r="H827" s="534"/>
    </row>
    <row r="828" spans="1:8" s="533" customFormat="1">
      <c r="A828" s="535"/>
      <c r="B828" s="535"/>
      <c r="C828" s="646"/>
      <c r="D828" s="535"/>
      <c r="H828" s="534"/>
    </row>
    <row r="829" spans="1:8" s="533" customFormat="1">
      <c r="A829" s="535"/>
      <c r="B829" s="535"/>
      <c r="C829" s="646"/>
      <c r="D829" s="535"/>
      <c r="H829" s="534"/>
    </row>
    <row r="830" spans="1:8" s="533" customFormat="1">
      <c r="A830" s="535"/>
      <c r="B830" s="535"/>
      <c r="C830" s="646"/>
      <c r="D830" s="535"/>
      <c r="H830" s="534"/>
    </row>
    <row r="831" spans="1:8" s="533" customFormat="1">
      <c r="A831" s="535"/>
      <c r="B831" s="535"/>
      <c r="C831" s="646"/>
      <c r="D831" s="535"/>
      <c r="H831" s="534"/>
    </row>
    <row r="832" spans="1:8" s="533" customFormat="1">
      <c r="A832" s="535"/>
      <c r="B832" s="535"/>
      <c r="C832" s="646"/>
      <c r="D832" s="535"/>
      <c r="H832" s="534"/>
    </row>
    <row r="833" spans="1:8" s="533" customFormat="1">
      <c r="A833" s="535"/>
      <c r="B833" s="535"/>
      <c r="C833" s="646"/>
      <c r="D833" s="535"/>
      <c r="H833" s="534"/>
    </row>
    <row r="834" spans="1:8" s="533" customFormat="1">
      <c r="A834" s="535"/>
      <c r="B834" s="535"/>
      <c r="C834" s="646"/>
      <c r="D834" s="535"/>
      <c r="H834" s="534"/>
    </row>
    <row r="835" spans="1:8" s="533" customFormat="1">
      <c r="A835" s="535"/>
      <c r="B835" s="535"/>
      <c r="C835" s="646"/>
      <c r="D835" s="535"/>
      <c r="H835" s="534"/>
    </row>
    <row r="836" spans="1:8" s="533" customFormat="1">
      <c r="A836" s="535"/>
      <c r="B836" s="535"/>
      <c r="C836" s="646"/>
      <c r="D836" s="535"/>
      <c r="H836" s="534"/>
    </row>
    <row r="837" spans="1:8" s="533" customFormat="1">
      <c r="A837" s="535"/>
      <c r="B837" s="535"/>
      <c r="C837" s="646"/>
      <c r="D837" s="535"/>
      <c r="H837" s="534"/>
    </row>
    <row r="838" spans="1:8" s="533" customFormat="1">
      <c r="A838" s="535"/>
      <c r="B838" s="535"/>
      <c r="C838" s="646"/>
      <c r="D838" s="535"/>
      <c r="H838" s="534"/>
    </row>
    <row r="839" spans="1:8" s="533" customFormat="1">
      <c r="A839" s="535"/>
      <c r="B839" s="535"/>
      <c r="C839" s="646"/>
      <c r="D839" s="535"/>
      <c r="H839" s="534"/>
    </row>
    <row r="840" spans="1:8" s="533" customFormat="1">
      <c r="A840" s="535"/>
      <c r="B840" s="535"/>
      <c r="C840" s="646"/>
      <c r="D840" s="535"/>
      <c r="H840" s="534"/>
    </row>
    <row r="841" spans="1:8" s="533" customFormat="1">
      <c r="A841" s="535"/>
      <c r="B841" s="535"/>
      <c r="C841" s="646"/>
      <c r="D841" s="535"/>
      <c r="H841" s="534"/>
    </row>
    <row r="842" spans="1:8" s="533" customFormat="1">
      <c r="A842" s="535"/>
      <c r="B842" s="535"/>
      <c r="C842" s="646"/>
      <c r="D842" s="535"/>
      <c r="H842" s="534"/>
    </row>
    <row r="843" spans="1:8" s="533" customFormat="1">
      <c r="A843" s="535"/>
      <c r="B843" s="535"/>
      <c r="C843" s="646"/>
      <c r="D843" s="535"/>
      <c r="H843" s="534"/>
    </row>
    <row r="844" spans="1:8" s="533" customFormat="1">
      <c r="A844" s="535"/>
      <c r="B844" s="535"/>
      <c r="C844" s="646"/>
      <c r="D844" s="535"/>
      <c r="H844" s="534"/>
    </row>
    <row r="845" spans="1:8" s="533" customFormat="1">
      <c r="A845" s="535"/>
      <c r="B845" s="535"/>
      <c r="C845" s="646"/>
      <c r="D845" s="535"/>
      <c r="H845" s="534"/>
    </row>
    <row r="846" spans="1:8" s="533" customFormat="1">
      <c r="A846" s="535"/>
      <c r="B846" s="535"/>
      <c r="C846" s="646"/>
      <c r="D846" s="535"/>
      <c r="H846" s="534"/>
    </row>
    <row r="847" spans="1:8" s="533" customFormat="1">
      <c r="A847" s="535"/>
      <c r="B847" s="535"/>
      <c r="C847" s="646"/>
      <c r="D847" s="535"/>
      <c r="H847" s="534"/>
    </row>
    <row r="848" spans="1:8" s="533" customFormat="1">
      <c r="A848" s="535"/>
      <c r="B848" s="535"/>
      <c r="C848" s="646"/>
      <c r="D848" s="535"/>
      <c r="H848" s="534"/>
    </row>
    <row r="849" spans="1:8" s="533" customFormat="1">
      <c r="A849" s="535"/>
      <c r="B849" s="535"/>
      <c r="C849" s="646"/>
      <c r="D849" s="535"/>
      <c r="H849" s="534"/>
    </row>
    <row r="850" spans="1:8" s="533" customFormat="1">
      <c r="A850" s="535"/>
      <c r="B850" s="535"/>
      <c r="C850" s="646"/>
      <c r="D850" s="535"/>
      <c r="H850" s="534"/>
    </row>
    <row r="851" spans="1:8" s="533" customFormat="1">
      <c r="A851" s="535"/>
      <c r="B851" s="535"/>
      <c r="C851" s="646"/>
      <c r="D851" s="535"/>
      <c r="H851" s="534"/>
    </row>
    <row r="852" spans="1:8" s="533" customFormat="1">
      <c r="A852" s="535"/>
      <c r="B852" s="535"/>
      <c r="C852" s="646"/>
      <c r="D852" s="535"/>
      <c r="H852" s="534"/>
    </row>
    <row r="853" spans="1:8" s="533" customFormat="1">
      <c r="A853" s="535"/>
      <c r="B853" s="535"/>
      <c r="C853" s="646"/>
      <c r="D853" s="535"/>
      <c r="H853" s="534"/>
    </row>
    <row r="854" spans="1:8" s="533" customFormat="1">
      <c r="A854" s="535"/>
      <c r="B854" s="535"/>
      <c r="C854" s="646"/>
      <c r="D854" s="535"/>
      <c r="H854" s="534"/>
    </row>
    <row r="855" spans="1:8" s="533" customFormat="1">
      <c r="A855" s="535"/>
      <c r="B855" s="535"/>
      <c r="C855" s="646"/>
      <c r="D855" s="535"/>
      <c r="H855" s="534"/>
    </row>
    <row r="856" spans="1:8" s="533" customFormat="1">
      <c r="A856" s="535"/>
      <c r="B856" s="535"/>
      <c r="C856" s="646"/>
      <c r="D856" s="535"/>
      <c r="H856" s="534"/>
    </row>
    <row r="857" spans="1:8" s="533" customFormat="1">
      <c r="A857" s="535"/>
      <c r="B857" s="535"/>
      <c r="C857" s="646"/>
      <c r="D857" s="535"/>
      <c r="H857" s="534"/>
    </row>
    <row r="858" spans="1:8" s="533" customFormat="1">
      <c r="A858" s="535"/>
      <c r="B858" s="535"/>
      <c r="C858" s="646"/>
      <c r="D858" s="535"/>
      <c r="H858" s="534"/>
    </row>
    <row r="859" spans="1:8" s="533" customFormat="1">
      <c r="A859" s="535"/>
      <c r="B859" s="535"/>
      <c r="C859" s="646"/>
      <c r="D859" s="535"/>
      <c r="H859" s="534"/>
    </row>
    <row r="860" spans="1:8" s="533" customFormat="1">
      <c r="A860" s="535"/>
      <c r="B860" s="535"/>
      <c r="C860" s="646"/>
      <c r="D860" s="535"/>
      <c r="H860" s="534"/>
    </row>
    <row r="861" spans="1:8" s="533" customFormat="1">
      <c r="A861" s="535"/>
      <c r="B861" s="535"/>
      <c r="C861" s="646"/>
      <c r="D861" s="535"/>
      <c r="H861" s="534"/>
    </row>
    <row r="862" spans="1:8" s="533" customFormat="1">
      <c r="A862" s="535"/>
      <c r="B862" s="535"/>
      <c r="C862" s="646"/>
      <c r="D862" s="535"/>
      <c r="H862" s="534"/>
    </row>
    <row r="863" spans="1:8" s="533" customFormat="1">
      <c r="A863" s="535"/>
      <c r="B863" s="535"/>
      <c r="C863" s="646"/>
      <c r="D863" s="535"/>
      <c r="H863" s="534"/>
    </row>
    <row r="864" spans="1:8" s="533" customFormat="1">
      <c r="A864" s="535"/>
      <c r="B864" s="535"/>
      <c r="C864" s="646"/>
      <c r="D864" s="535"/>
      <c r="H864" s="534"/>
    </row>
    <row r="865" spans="1:8" s="533" customFormat="1">
      <c r="A865" s="535"/>
      <c r="B865" s="535"/>
      <c r="C865" s="646"/>
      <c r="D865" s="535"/>
      <c r="H865" s="534"/>
    </row>
    <row r="866" spans="1:8" s="533" customFormat="1">
      <c r="A866" s="535"/>
      <c r="B866" s="535"/>
      <c r="C866" s="646"/>
      <c r="D866" s="535"/>
      <c r="H866" s="534"/>
    </row>
    <row r="867" spans="1:8" s="533" customFormat="1">
      <c r="A867" s="535"/>
      <c r="B867" s="535"/>
      <c r="C867" s="646"/>
      <c r="D867" s="535"/>
      <c r="H867" s="534"/>
    </row>
    <row r="868" spans="1:8" s="533" customFormat="1">
      <c r="A868" s="535"/>
      <c r="B868" s="535"/>
      <c r="C868" s="646"/>
      <c r="D868" s="535"/>
      <c r="H868" s="534"/>
    </row>
    <row r="869" spans="1:8" s="533" customFormat="1">
      <c r="A869" s="535"/>
      <c r="B869" s="535"/>
      <c r="C869" s="646"/>
      <c r="D869" s="535"/>
      <c r="H869" s="534"/>
    </row>
    <row r="870" spans="1:8" s="533" customFormat="1">
      <c r="A870" s="535"/>
      <c r="B870" s="535"/>
      <c r="C870" s="646"/>
      <c r="D870" s="535"/>
      <c r="H870" s="534"/>
    </row>
    <row r="871" spans="1:8" s="533" customFormat="1">
      <c r="A871" s="535"/>
      <c r="B871" s="535"/>
      <c r="C871" s="646"/>
      <c r="D871" s="535"/>
      <c r="H871" s="534"/>
    </row>
    <row r="872" spans="1:8" s="533" customFormat="1">
      <c r="A872" s="535"/>
      <c r="B872" s="535"/>
      <c r="C872" s="646"/>
      <c r="D872" s="535"/>
      <c r="H872" s="534"/>
    </row>
    <row r="873" spans="1:8" s="533" customFormat="1">
      <c r="A873" s="535"/>
      <c r="B873" s="535"/>
      <c r="C873" s="646"/>
      <c r="D873" s="535"/>
      <c r="H873" s="534"/>
    </row>
    <row r="874" spans="1:8" s="533" customFormat="1">
      <c r="A874" s="535"/>
      <c r="B874" s="535"/>
      <c r="C874" s="646"/>
      <c r="D874" s="535"/>
      <c r="H874" s="534"/>
    </row>
    <row r="875" spans="1:8" s="533" customFormat="1">
      <c r="A875" s="535"/>
      <c r="B875" s="535"/>
      <c r="C875" s="646"/>
      <c r="D875" s="535"/>
      <c r="H875" s="534"/>
    </row>
    <row r="876" spans="1:8" s="533" customFormat="1">
      <c r="A876" s="535"/>
      <c r="B876" s="535"/>
      <c r="C876" s="646"/>
      <c r="D876" s="535"/>
      <c r="H876" s="534"/>
    </row>
    <row r="877" spans="1:8" s="533" customFormat="1">
      <c r="A877" s="535"/>
      <c r="B877" s="535"/>
      <c r="C877" s="646"/>
      <c r="D877" s="535"/>
      <c r="H877" s="534"/>
    </row>
    <row r="878" spans="1:8" s="533" customFormat="1">
      <c r="A878" s="535"/>
      <c r="B878" s="535"/>
      <c r="C878" s="646"/>
      <c r="D878" s="535"/>
      <c r="H878" s="534"/>
    </row>
    <row r="879" spans="1:8" s="533" customFormat="1">
      <c r="A879" s="535"/>
      <c r="B879" s="535"/>
      <c r="C879" s="646"/>
      <c r="D879" s="535"/>
      <c r="H879" s="534"/>
    </row>
    <row r="880" spans="1:8" s="533" customFormat="1">
      <c r="A880" s="535"/>
      <c r="B880" s="535"/>
      <c r="C880" s="646"/>
      <c r="D880" s="535"/>
      <c r="H880" s="534"/>
    </row>
    <row r="881" spans="1:8" s="533" customFormat="1">
      <c r="A881" s="535"/>
      <c r="B881" s="535"/>
      <c r="C881" s="646"/>
      <c r="D881" s="535"/>
      <c r="H881" s="534"/>
    </row>
    <row r="882" spans="1:8" s="533" customFormat="1">
      <c r="A882" s="535"/>
      <c r="B882" s="535"/>
      <c r="C882" s="646"/>
      <c r="D882" s="535"/>
      <c r="H882" s="534"/>
    </row>
    <row r="883" spans="1:8" s="533" customFormat="1">
      <c r="A883" s="535"/>
      <c r="B883" s="535"/>
      <c r="C883" s="646"/>
      <c r="D883" s="535"/>
      <c r="H883" s="534"/>
    </row>
    <row r="884" spans="1:8" s="533" customFormat="1">
      <c r="A884" s="535"/>
      <c r="B884" s="535"/>
      <c r="C884" s="646"/>
      <c r="D884" s="535"/>
      <c r="H884" s="534"/>
    </row>
    <row r="885" spans="1:8" s="533" customFormat="1">
      <c r="A885" s="535"/>
      <c r="B885" s="535"/>
      <c r="C885" s="646"/>
      <c r="D885" s="535"/>
      <c r="H885" s="534"/>
    </row>
    <row r="886" spans="1:8" s="533" customFormat="1">
      <c r="A886" s="535"/>
      <c r="B886" s="535"/>
      <c r="C886" s="646"/>
      <c r="D886" s="535"/>
      <c r="H886" s="534"/>
    </row>
    <row r="887" spans="1:8" s="533" customFormat="1">
      <c r="A887" s="535"/>
      <c r="B887" s="535"/>
      <c r="C887" s="646"/>
      <c r="D887" s="535"/>
      <c r="H887" s="534"/>
    </row>
    <row r="888" spans="1:8" s="533" customFormat="1">
      <c r="A888" s="535"/>
      <c r="B888" s="535"/>
      <c r="C888" s="646"/>
      <c r="D888" s="535"/>
      <c r="H888" s="534"/>
    </row>
    <row r="889" spans="1:8" s="533" customFormat="1">
      <c r="A889" s="535"/>
      <c r="B889" s="535"/>
      <c r="C889" s="646"/>
      <c r="D889" s="535"/>
      <c r="H889" s="534"/>
    </row>
    <row r="890" spans="1:8" s="533" customFormat="1">
      <c r="A890" s="535"/>
      <c r="B890" s="535"/>
      <c r="C890" s="646"/>
      <c r="D890" s="535"/>
      <c r="H890" s="534"/>
    </row>
    <row r="891" spans="1:8" s="533" customFormat="1">
      <c r="A891" s="535"/>
      <c r="B891" s="535"/>
      <c r="C891" s="646"/>
      <c r="D891" s="535"/>
      <c r="H891" s="534"/>
    </row>
    <row r="892" spans="1:8" s="533" customFormat="1">
      <c r="A892" s="535"/>
      <c r="B892" s="535"/>
      <c r="C892" s="646"/>
      <c r="D892" s="535"/>
      <c r="H892" s="534"/>
    </row>
    <row r="893" spans="1:8" s="533" customFormat="1">
      <c r="A893" s="535"/>
      <c r="B893" s="535"/>
      <c r="C893" s="646"/>
      <c r="D893" s="535"/>
      <c r="H893" s="534"/>
    </row>
    <row r="894" spans="1:8" s="533" customFormat="1">
      <c r="A894" s="535"/>
      <c r="B894" s="535"/>
      <c r="C894" s="646"/>
      <c r="D894" s="535"/>
      <c r="H894" s="534"/>
    </row>
    <row r="895" spans="1:8" s="533" customFormat="1">
      <c r="A895" s="535"/>
      <c r="B895" s="535"/>
      <c r="C895" s="646"/>
      <c r="D895" s="535"/>
      <c r="H895" s="534"/>
    </row>
    <row r="896" spans="1:8" s="533" customFormat="1">
      <c r="A896" s="535"/>
      <c r="B896" s="535"/>
      <c r="C896" s="646"/>
      <c r="D896" s="535"/>
      <c r="H896" s="534"/>
    </row>
    <row r="897" spans="1:8" s="533" customFormat="1">
      <c r="A897" s="535"/>
      <c r="B897" s="535"/>
      <c r="C897" s="646"/>
      <c r="D897" s="535"/>
      <c r="H897" s="534"/>
    </row>
    <row r="898" spans="1:8" s="533" customFormat="1">
      <c r="A898" s="535"/>
      <c r="B898" s="535"/>
      <c r="C898" s="646"/>
      <c r="D898" s="535"/>
      <c r="H898" s="534"/>
    </row>
    <row r="899" spans="1:8" s="533" customFormat="1">
      <c r="A899" s="535"/>
      <c r="B899" s="535"/>
      <c r="C899" s="646"/>
      <c r="D899" s="535"/>
      <c r="H899" s="534"/>
    </row>
    <row r="900" spans="1:8" s="533" customFormat="1">
      <c r="A900" s="535"/>
      <c r="B900" s="535"/>
      <c r="C900" s="646"/>
      <c r="D900" s="535"/>
      <c r="H900" s="534"/>
    </row>
    <row r="901" spans="1:8" s="533" customFormat="1">
      <c r="A901" s="535"/>
      <c r="B901" s="535"/>
      <c r="C901" s="646"/>
      <c r="D901" s="535"/>
      <c r="H901" s="534"/>
    </row>
    <row r="902" spans="1:8" s="533" customFormat="1">
      <c r="A902" s="535"/>
      <c r="B902" s="535"/>
      <c r="C902" s="646"/>
      <c r="D902" s="535"/>
      <c r="H902" s="534"/>
    </row>
    <row r="903" spans="1:8" s="533" customFormat="1">
      <c r="A903" s="535"/>
      <c r="B903" s="535"/>
      <c r="C903" s="646"/>
      <c r="D903" s="535"/>
      <c r="H903" s="534"/>
    </row>
    <row r="904" spans="1:8" s="533" customFormat="1">
      <c r="A904" s="535"/>
      <c r="B904" s="535"/>
      <c r="C904" s="646"/>
      <c r="D904" s="535"/>
      <c r="H904" s="534"/>
    </row>
    <row r="905" spans="1:8" s="533" customFormat="1">
      <c r="A905" s="535"/>
      <c r="B905" s="535"/>
      <c r="C905" s="646"/>
      <c r="D905" s="535"/>
      <c r="H905" s="534"/>
    </row>
    <row r="906" spans="1:8" s="533" customFormat="1">
      <c r="A906" s="535"/>
      <c r="B906" s="535"/>
      <c r="C906" s="646"/>
      <c r="D906" s="535"/>
      <c r="H906" s="534"/>
    </row>
    <row r="907" spans="1:8" s="533" customFormat="1">
      <c r="A907" s="535"/>
      <c r="B907" s="535"/>
      <c r="C907" s="646"/>
      <c r="D907" s="535"/>
      <c r="H907" s="534"/>
    </row>
    <row r="908" spans="1:8" s="533" customFormat="1">
      <c r="A908" s="535"/>
      <c r="B908" s="535"/>
      <c r="C908" s="646"/>
      <c r="D908" s="535"/>
      <c r="H908" s="534"/>
    </row>
    <row r="909" spans="1:8" s="533" customFormat="1">
      <c r="A909" s="535"/>
      <c r="B909" s="535"/>
      <c r="C909" s="646"/>
      <c r="D909" s="535"/>
      <c r="H909" s="534"/>
    </row>
    <row r="910" spans="1:8" s="533" customFormat="1">
      <c r="A910" s="535"/>
      <c r="B910" s="535"/>
      <c r="C910" s="646"/>
      <c r="D910" s="535"/>
      <c r="H910" s="534"/>
    </row>
    <row r="911" spans="1:8" s="533" customFormat="1">
      <c r="A911" s="535"/>
      <c r="B911" s="535"/>
      <c r="C911" s="646"/>
      <c r="D911" s="535"/>
      <c r="H911" s="534"/>
    </row>
    <row r="912" spans="1:8" s="533" customFormat="1">
      <c r="A912" s="535"/>
      <c r="B912" s="535"/>
      <c r="C912" s="646"/>
      <c r="D912" s="535"/>
      <c r="H912" s="534"/>
    </row>
    <row r="913" spans="1:8" s="533" customFormat="1">
      <c r="A913" s="535"/>
      <c r="B913" s="535"/>
      <c r="C913" s="646"/>
      <c r="D913" s="535"/>
      <c r="H913" s="534"/>
    </row>
    <row r="914" spans="1:8" s="533" customFormat="1">
      <c r="A914" s="535"/>
      <c r="B914" s="535"/>
      <c r="C914" s="646"/>
      <c r="D914" s="535"/>
      <c r="H914" s="534"/>
    </row>
    <row r="915" spans="1:8" s="533" customFormat="1">
      <c r="A915" s="535"/>
      <c r="B915" s="535"/>
      <c r="C915" s="646"/>
      <c r="D915" s="535"/>
      <c r="H915" s="534"/>
    </row>
    <row r="916" spans="1:8" s="533" customFormat="1">
      <c r="A916" s="535"/>
      <c r="B916" s="535"/>
      <c r="C916" s="646"/>
      <c r="D916" s="535"/>
      <c r="H916" s="534"/>
    </row>
    <row r="917" spans="1:8" s="533" customFormat="1">
      <c r="A917" s="535"/>
      <c r="B917" s="535"/>
      <c r="C917" s="646"/>
      <c r="D917" s="535"/>
      <c r="H917" s="534"/>
    </row>
    <row r="918" spans="1:8" s="533" customFormat="1">
      <c r="A918" s="535"/>
      <c r="B918" s="535"/>
      <c r="C918" s="646"/>
      <c r="D918" s="535"/>
      <c r="H918" s="534"/>
    </row>
    <row r="919" spans="1:8" s="533" customFormat="1">
      <c r="A919" s="535"/>
      <c r="B919" s="535"/>
      <c r="C919" s="646"/>
      <c r="D919" s="535"/>
      <c r="H919" s="534"/>
    </row>
    <row r="920" spans="1:8" s="533" customFormat="1">
      <c r="A920" s="535"/>
      <c r="B920" s="535"/>
      <c r="C920" s="646"/>
      <c r="D920" s="535"/>
      <c r="H920" s="534"/>
    </row>
    <row r="921" spans="1:8" s="533" customFormat="1">
      <c r="A921" s="535"/>
      <c r="B921" s="535"/>
      <c r="C921" s="646"/>
      <c r="D921" s="535"/>
      <c r="H921" s="534"/>
    </row>
    <row r="922" spans="1:8" s="533" customFormat="1">
      <c r="A922" s="535"/>
      <c r="B922" s="535"/>
      <c r="C922" s="646"/>
      <c r="D922" s="535"/>
      <c r="H922" s="534"/>
    </row>
    <row r="923" spans="1:8" s="533" customFormat="1">
      <c r="A923" s="535"/>
      <c r="B923" s="535"/>
      <c r="C923" s="646"/>
      <c r="D923" s="535"/>
      <c r="H923" s="534"/>
    </row>
    <row r="924" spans="1:8" s="533" customFormat="1">
      <c r="A924" s="535"/>
      <c r="B924" s="535"/>
      <c r="C924" s="646"/>
      <c r="D924" s="535"/>
      <c r="H924" s="534"/>
    </row>
    <row r="925" spans="1:8" s="533" customFormat="1">
      <c r="A925" s="535"/>
      <c r="B925" s="535"/>
      <c r="C925" s="646"/>
      <c r="D925" s="535"/>
      <c r="H925" s="534"/>
    </row>
    <row r="926" spans="1:8" s="533" customFormat="1">
      <c r="A926" s="535"/>
      <c r="B926" s="535"/>
      <c r="C926" s="646"/>
      <c r="D926" s="535"/>
      <c r="H926" s="534"/>
    </row>
    <row r="927" spans="1:8" s="533" customFormat="1">
      <c r="A927" s="535"/>
      <c r="B927" s="535"/>
      <c r="C927" s="646"/>
      <c r="D927" s="535"/>
      <c r="H927" s="534"/>
    </row>
    <row r="928" spans="1:8" s="533" customFormat="1">
      <c r="A928" s="535"/>
      <c r="B928" s="535"/>
      <c r="C928" s="646"/>
      <c r="D928" s="535"/>
      <c r="H928" s="534"/>
    </row>
    <row r="929" spans="1:8" s="533" customFormat="1">
      <c r="A929" s="535"/>
      <c r="B929" s="535"/>
      <c r="C929" s="646"/>
      <c r="D929" s="535"/>
      <c r="H929" s="534"/>
    </row>
    <row r="930" spans="1:8" s="533" customFormat="1">
      <c r="A930" s="535"/>
      <c r="B930" s="535"/>
      <c r="C930" s="646"/>
      <c r="D930" s="535"/>
      <c r="H930" s="534"/>
    </row>
    <row r="931" spans="1:8" s="533" customFormat="1">
      <c r="A931" s="535"/>
      <c r="B931" s="535"/>
      <c r="C931" s="646"/>
      <c r="D931" s="535"/>
      <c r="H931" s="534"/>
    </row>
    <row r="932" spans="1:8" s="533" customFormat="1">
      <c r="A932" s="535"/>
      <c r="B932" s="535"/>
      <c r="C932" s="646"/>
      <c r="D932" s="535"/>
      <c r="H932" s="534"/>
    </row>
    <row r="933" spans="1:8" s="533" customFormat="1">
      <c r="A933" s="535"/>
      <c r="B933" s="535"/>
      <c r="C933" s="646"/>
      <c r="D933" s="535"/>
      <c r="H933" s="534"/>
    </row>
    <row r="934" spans="1:8" s="533" customFormat="1">
      <c r="A934" s="535"/>
      <c r="B934" s="535"/>
      <c r="C934" s="646"/>
      <c r="D934" s="535"/>
      <c r="H934" s="534"/>
    </row>
    <row r="935" spans="1:8" s="533" customFormat="1">
      <c r="A935" s="535"/>
      <c r="B935" s="535"/>
      <c r="C935" s="646"/>
      <c r="D935" s="535"/>
      <c r="H935" s="534"/>
    </row>
    <row r="936" spans="1:8" s="533" customFormat="1">
      <c r="A936" s="535"/>
      <c r="B936" s="535"/>
      <c r="C936" s="646"/>
      <c r="D936" s="535"/>
      <c r="H936" s="534"/>
    </row>
    <row r="937" spans="1:8" s="533" customFormat="1">
      <c r="A937" s="535"/>
      <c r="B937" s="535"/>
      <c r="C937" s="646"/>
      <c r="D937" s="535"/>
      <c r="H937" s="534"/>
    </row>
    <row r="938" spans="1:8" s="533" customFormat="1">
      <c r="A938" s="535"/>
      <c r="B938" s="535"/>
      <c r="C938" s="646"/>
      <c r="D938" s="535"/>
      <c r="H938" s="534"/>
    </row>
    <row r="939" spans="1:8" s="533" customFormat="1">
      <c r="A939" s="535"/>
      <c r="B939" s="535"/>
      <c r="C939" s="646"/>
      <c r="D939" s="535"/>
      <c r="H939" s="534"/>
    </row>
    <row r="940" spans="1:8" s="533" customFormat="1">
      <c r="A940" s="535"/>
      <c r="B940" s="535"/>
      <c r="C940" s="646"/>
      <c r="D940" s="535"/>
      <c r="H940" s="534"/>
    </row>
    <row r="941" spans="1:8" s="533" customFormat="1">
      <c r="A941" s="535"/>
      <c r="B941" s="535"/>
      <c r="C941" s="646"/>
      <c r="D941" s="535"/>
      <c r="H941" s="534"/>
    </row>
    <row r="942" spans="1:8" s="533" customFormat="1">
      <c r="A942" s="535"/>
      <c r="B942" s="535"/>
      <c r="C942" s="646"/>
      <c r="D942" s="535"/>
      <c r="H942" s="534"/>
    </row>
    <row r="943" spans="1:8" s="533" customFormat="1">
      <c r="A943" s="535"/>
      <c r="B943" s="535"/>
      <c r="C943" s="646"/>
      <c r="D943" s="535"/>
      <c r="H943" s="534"/>
    </row>
    <row r="944" spans="1:8" s="533" customFormat="1">
      <c r="A944" s="535"/>
      <c r="B944" s="535"/>
      <c r="C944" s="646"/>
      <c r="D944" s="535"/>
      <c r="H944" s="534"/>
    </row>
    <row r="945" spans="1:8" s="533" customFormat="1">
      <c r="A945" s="535"/>
      <c r="B945" s="535"/>
      <c r="C945" s="646"/>
      <c r="D945" s="535"/>
      <c r="H945" s="534"/>
    </row>
    <row r="946" spans="1:8" s="533" customFormat="1">
      <c r="A946" s="535"/>
      <c r="B946" s="535"/>
      <c r="C946" s="646"/>
      <c r="D946" s="535"/>
      <c r="H946" s="534"/>
    </row>
    <row r="947" spans="1:8" s="533" customFormat="1">
      <c r="A947" s="535"/>
      <c r="B947" s="535"/>
      <c r="C947" s="646"/>
      <c r="D947" s="535"/>
      <c r="H947" s="534"/>
    </row>
    <row r="948" spans="1:8" s="533" customFormat="1">
      <c r="A948" s="535"/>
      <c r="B948" s="535"/>
      <c r="C948" s="646"/>
      <c r="D948" s="535"/>
      <c r="H948" s="534"/>
    </row>
    <row r="949" spans="1:8" s="533" customFormat="1">
      <c r="A949" s="535"/>
      <c r="B949" s="535"/>
      <c r="C949" s="646"/>
      <c r="D949" s="535"/>
      <c r="H949" s="534"/>
    </row>
    <row r="950" spans="1:8" s="533" customFormat="1">
      <c r="A950" s="535"/>
      <c r="B950" s="535"/>
      <c r="C950" s="646"/>
      <c r="D950" s="535"/>
      <c r="H950" s="534"/>
    </row>
    <row r="951" spans="1:8" s="533" customFormat="1">
      <c r="A951" s="535"/>
      <c r="B951" s="535"/>
      <c r="C951" s="646"/>
      <c r="D951" s="535"/>
      <c r="H951" s="534"/>
    </row>
    <row r="952" spans="1:8" s="533" customFormat="1">
      <c r="A952" s="535"/>
      <c r="B952" s="535"/>
      <c r="C952" s="646"/>
      <c r="D952" s="535"/>
      <c r="H952" s="534"/>
    </row>
    <row r="953" spans="1:8" s="533" customFormat="1">
      <c r="A953" s="535"/>
      <c r="B953" s="535"/>
      <c r="C953" s="646"/>
      <c r="D953" s="535"/>
      <c r="H953" s="534"/>
    </row>
    <row r="954" spans="1:8" s="533" customFormat="1">
      <c r="A954" s="535"/>
      <c r="B954" s="535"/>
      <c r="C954" s="646"/>
      <c r="D954" s="535"/>
      <c r="H954" s="534"/>
    </row>
    <row r="955" spans="1:8" s="533" customFormat="1">
      <c r="A955" s="535"/>
      <c r="B955" s="535"/>
      <c r="C955" s="646"/>
      <c r="D955" s="535"/>
      <c r="H955" s="534"/>
    </row>
    <row r="956" spans="1:8" s="533" customFormat="1">
      <c r="A956" s="535"/>
      <c r="B956" s="535"/>
      <c r="C956" s="646"/>
      <c r="D956" s="535"/>
      <c r="H956" s="534"/>
    </row>
    <row r="957" spans="1:8" s="533" customFormat="1">
      <c r="A957" s="535"/>
      <c r="B957" s="535"/>
      <c r="C957" s="646"/>
      <c r="D957" s="535"/>
      <c r="H957" s="534"/>
    </row>
    <row r="958" spans="1:8" s="533" customFormat="1">
      <c r="A958" s="535"/>
      <c r="B958" s="535"/>
      <c r="C958" s="646"/>
      <c r="D958" s="535"/>
      <c r="H958" s="534"/>
    </row>
    <row r="959" spans="1:8" s="533" customFormat="1">
      <c r="A959" s="535"/>
      <c r="B959" s="535"/>
      <c r="C959" s="646"/>
      <c r="D959" s="535"/>
      <c r="H959" s="534"/>
    </row>
    <row r="960" spans="1:8" s="533" customFormat="1">
      <c r="A960" s="535"/>
      <c r="B960" s="535"/>
      <c r="C960" s="646"/>
      <c r="D960" s="535"/>
      <c r="H960" s="534"/>
    </row>
    <row r="961" spans="1:8" s="533" customFormat="1">
      <c r="A961" s="535"/>
      <c r="B961" s="535"/>
      <c r="C961" s="646"/>
      <c r="D961" s="535"/>
      <c r="H961" s="534"/>
    </row>
    <row r="962" spans="1:8" s="533" customFormat="1">
      <c r="A962" s="535"/>
      <c r="B962" s="535"/>
      <c r="C962" s="646"/>
      <c r="D962" s="535"/>
      <c r="H962" s="534"/>
    </row>
    <row r="963" spans="1:8" s="533" customFormat="1">
      <c r="A963" s="535"/>
      <c r="B963" s="535"/>
      <c r="C963" s="646"/>
      <c r="D963" s="535"/>
      <c r="H963" s="534"/>
    </row>
    <row r="964" spans="1:8" s="533" customFormat="1">
      <c r="A964" s="535"/>
      <c r="B964" s="535"/>
      <c r="C964" s="646"/>
      <c r="D964" s="535"/>
      <c r="H964" s="534"/>
    </row>
    <row r="965" spans="1:8" s="533" customFormat="1">
      <c r="A965" s="535"/>
      <c r="B965" s="535"/>
      <c r="C965" s="646"/>
      <c r="D965" s="535"/>
      <c r="H965" s="534"/>
    </row>
    <row r="966" spans="1:8" s="533" customFormat="1">
      <c r="A966" s="535"/>
      <c r="B966" s="535"/>
      <c r="C966" s="646"/>
      <c r="D966" s="535"/>
      <c r="H966" s="534"/>
    </row>
    <row r="967" spans="1:8" s="533" customFormat="1">
      <c r="A967" s="535"/>
      <c r="B967" s="535"/>
      <c r="C967" s="646"/>
      <c r="D967" s="535"/>
      <c r="H967" s="534"/>
    </row>
    <row r="968" spans="1:8" s="533" customFormat="1">
      <c r="A968" s="535"/>
      <c r="B968" s="535"/>
      <c r="C968" s="646"/>
      <c r="D968" s="535"/>
      <c r="H968" s="534"/>
    </row>
    <row r="969" spans="1:8" s="533" customFormat="1">
      <c r="A969" s="535"/>
      <c r="B969" s="535"/>
      <c r="C969" s="646"/>
      <c r="D969" s="535"/>
      <c r="H969" s="534"/>
    </row>
    <row r="970" spans="1:8" s="533" customFormat="1">
      <c r="A970" s="535"/>
      <c r="B970" s="535"/>
      <c r="C970" s="646"/>
      <c r="D970" s="535"/>
      <c r="H970" s="534"/>
    </row>
    <row r="971" spans="1:8" s="533" customFormat="1">
      <c r="A971" s="535"/>
      <c r="B971" s="535"/>
      <c r="C971" s="646"/>
      <c r="D971" s="535"/>
      <c r="H971" s="534"/>
    </row>
    <row r="972" spans="1:8" s="533" customFormat="1">
      <c r="A972" s="535"/>
      <c r="B972" s="535"/>
      <c r="C972" s="646"/>
      <c r="D972" s="535"/>
      <c r="H972" s="534"/>
    </row>
    <row r="973" spans="1:8" s="533" customFormat="1">
      <c r="A973" s="535"/>
      <c r="B973" s="535"/>
      <c r="C973" s="646"/>
      <c r="D973" s="535"/>
      <c r="H973" s="534"/>
    </row>
    <row r="974" spans="1:8" s="533" customFormat="1">
      <c r="A974" s="535"/>
      <c r="B974" s="535"/>
      <c r="C974" s="646"/>
      <c r="D974" s="535"/>
      <c r="H974" s="534"/>
    </row>
    <row r="975" spans="1:8" s="533" customFormat="1">
      <c r="A975" s="535"/>
      <c r="B975" s="535"/>
      <c r="C975" s="646"/>
      <c r="D975" s="535"/>
      <c r="H975" s="534"/>
    </row>
    <row r="976" spans="1:8" s="533" customFormat="1">
      <c r="A976" s="535"/>
      <c r="B976" s="535"/>
      <c r="C976" s="646"/>
      <c r="D976" s="535"/>
      <c r="H976" s="534"/>
    </row>
    <row r="977" spans="1:8" s="533" customFormat="1">
      <c r="A977" s="535"/>
      <c r="B977" s="535"/>
      <c r="C977" s="646"/>
      <c r="D977" s="535"/>
      <c r="H977" s="534"/>
    </row>
    <row r="978" spans="1:8" s="533" customFormat="1">
      <c r="A978" s="535"/>
      <c r="B978" s="535"/>
      <c r="C978" s="646"/>
      <c r="D978" s="535"/>
      <c r="H978" s="534"/>
    </row>
    <row r="979" spans="1:8" s="533" customFormat="1">
      <c r="A979" s="535"/>
      <c r="B979" s="535"/>
      <c r="C979" s="646"/>
      <c r="D979" s="535"/>
      <c r="H979" s="534"/>
    </row>
    <row r="980" spans="1:8" s="533" customFormat="1">
      <c r="A980" s="535"/>
      <c r="B980" s="535"/>
      <c r="C980" s="646"/>
      <c r="D980" s="535"/>
      <c r="H980" s="534"/>
    </row>
    <row r="981" spans="1:8" s="533" customFormat="1">
      <c r="A981" s="535"/>
      <c r="B981" s="535"/>
      <c r="C981" s="646"/>
      <c r="D981" s="535"/>
      <c r="H981" s="534"/>
    </row>
    <row r="982" spans="1:8" s="533" customFormat="1">
      <c r="A982" s="535"/>
      <c r="B982" s="535"/>
      <c r="C982" s="646"/>
      <c r="D982" s="535"/>
      <c r="H982" s="534"/>
    </row>
    <row r="983" spans="1:8" s="533" customFormat="1">
      <c r="A983" s="535"/>
      <c r="B983" s="535"/>
      <c r="C983" s="646"/>
      <c r="D983" s="535"/>
      <c r="H983" s="534"/>
    </row>
    <row r="984" spans="1:8" s="533" customFormat="1">
      <c r="A984" s="535"/>
      <c r="B984" s="535"/>
      <c r="C984" s="646"/>
      <c r="D984" s="535"/>
      <c r="H984" s="534"/>
    </row>
    <row r="985" spans="1:8" s="533" customFormat="1">
      <c r="A985" s="535"/>
      <c r="B985" s="535"/>
      <c r="C985" s="646"/>
      <c r="D985" s="535"/>
      <c r="H985" s="534"/>
    </row>
    <row r="986" spans="1:8" s="533" customFormat="1">
      <c r="A986" s="535"/>
      <c r="B986" s="535"/>
      <c r="C986" s="646"/>
      <c r="D986" s="535"/>
      <c r="H986" s="534"/>
    </row>
    <row r="987" spans="1:8" s="533" customFormat="1">
      <c r="A987" s="535"/>
      <c r="B987" s="535"/>
      <c r="C987" s="646"/>
      <c r="D987" s="535"/>
      <c r="H987" s="534"/>
    </row>
    <row r="988" spans="1:8" s="533" customFormat="1">
      <c r="A988" s="535"/>
      <c r="B988" s="535"/>
      <c r="C988" s="646"/>
      <c r="D988" s="535"/>
      <c r="H988" s="534"/>
    </row>
    <row r="989" spans="1:8" s="533" customFormat="1">
      <c r="A989" s="535"/>
      <c r="B989" s="535"/>
      <c r="C989" s="646"/>
      <c r="D989" s="535"/>
      <c r="H989" s="534"/>
    </row>
    <row r="990" spans="1:8" s="533" customFormat="1">
      <c r="A990" s="535"/>
      <c r="B990" s="535"/>
      <c r="C990" s="646"/>
      <c r="D990" s="535"/>
      <c r="H990" s="534"/>
    </row>
    <row r="991" spans="1:8" s="533" customFormat="1">
      <c r="A991" s="535"/>
      <c r="B991" s="535"/>
      <c r="C991" s="646"/>
      <c r="D991" s="535"/>
      <c r="H991" s="534"/>
    </row>
    <row r="992" spans="1:8" s="533" customFormat="1">
      <c r="A992" s="535"/>
      <c r="B992" s="535"/>
      <c r="C992" s="646"/>
      <c r="D992" s="535"/>
      <c r="H992" s="534"/>
    </row>
    <row r="993" spans="1:8" s="533" customFormat="1">
      <c r="A993" s="535"/>
      <c r="B993" s="535"/>
      <c r="C993" s="646"/>
      <c r="D993" s="535"/>
      <c r="H993" s="534"/>
    </row>
    <row r="994" spans="1:8" s="533" customFormat="1">
      <c r="A994" s="535"/>
      <c r="B994" s="535"/>
      <c r="C994" s="646"/>
      <c r="D994" s="535"/>
      <c r="H994" s="534"/>
    </row>
    <row r="995" spans="1:8" s="533" customFormat="1">
      <c r="A995" s="535"/>
      <c r="B995" s="535"/>
      <c r="C995" s="646"/>
      <c r="D995" s="535"/>
      <c r="H995" s="534"/>
    </row>
    <row r="996" spans="1:8" s="533" customFormat="1">
      <c r="A996" s="535"/>
      <c r="B996" s="535"/>
      <c r="C996" s="646"/>
      <c r="D996" s="535"/>
      <c r="H996" s="534"/>
    </row>
    <row r="997" spans="1:8" s="533" customFormat="1">
      <c r="A997" s="535"/>
      <c r="B997" s="535"/>
      <c r="C997" s="646"/>
      <c r="D997" s="535"/>
      <c r="H997" s="534"/>
    </row>
    <row r="998" spans="1:8" s="533" customFormat="1">
      <c r="A998" s="535"/>
      <c r="B998" s="535"/>
      <c r="C998" s="646"/>
      <c r="D998" s="535"/>
      <c r="H998" s="534"/>
    </row>
    <row r="999" spans="1:8" s="533" customFormat="1">
      <c r="A999" s="535"/>
      <c r="B999" s="535"/>
      <c r="C999" s="646"/>
      <c r="D999" s="535"/>
      <c r="H999" s="534"/>
    </row>
    <row r="1000" spans="1:8" s="533" customFormat="1">
      <c r="A1000" s="535"/>
      <c r="B1000" s="535"/>
      <c r="C1000" s="646"/>
      <c r="D1000" s="535"/>
      <c r="H1000" s="534"/>
    </row>
    <row r="1001" spans="1:8" s="533" customFormat="1">
      <c r="A1001" s="535"/>
      <c r="B1001" s="535"/>
      <c r="C1001" s="646"/>
      <c r="D1001" s="535"/>
      <c r="H1001" s="534"/>
    </row>
    <row r="1002" spans="1:8" s="533" customFormat="1">
      <c r="A1002" s="535"/>
      <c r="B1002" s="535"/>
      <c r="C1002" s="646"/>
      <c r="D1002" s="535"/>
      <c r="H1002" s="534"/>
    </row>
    <row r="1003" spans="1:8" s="533" customFormat="1">
      <c r="A1003" s="535"/>
      <c r="B1003" s="535"/>
      <c r="C1003" s="646"/>
      <c r="D1003" s="535"/>
      <c r="H1003" s="534"/>
    </row>
    <row r="1004" spans="1:8" s="533" customFormat="1">
      <c r="A1004" s="535"/>
      <c r="B1004" s="535"/>
      <c r="C1004" s="646"/>
      <c r="D1004" s="535"/>
      <c r="H1004" s="534"/>
    </row>
    <row r="1005" spans="1:8" s="533" customFormat="1">
      <c r="A1005" s="535"/>
      <c r="B1005" s="535"/>
      <c r="C1005" s="646"/>
      <c r="D1005" s="535"/>
      <c r="H1005" s="534"/>
    </row>
    <row r="1006" spans="1:8" s="533" customFormat="1">
      <c r="A1006" s="535"/>
      <c r="B1006" s="535"/>
      <c r="C1006" s="646"/>
      <c r="D1006" s="535"/>
      <c r="H1006" s="534"/>
    </row>
    <row r="1007" spans="1:8" s="533" customFormat="1">
      <c r="A1007" s="535"/>
      <c r="B1007" s="535"/>
      <c r="C1007" s="646"/>
      <c r="D1007" s="535"/>
      <c r="H1007" s="534"/>
    </row>
    <row r="1008" spans="1:8" s="533" customFormat="1">
      <c r="A1008" s="535"/>
      <c r="B1008" s="535"/>
      <c r="C1008" s="646"/>
      <c r="D1008" s="535"/>
      <c r="H1008" s="534"/>
    </row>
    <row r="1009" spans="1:8" s="533" customFormat="1">
      <c r="A1009" s="535"/>
      <c r="B1009" s="535"/>
      <c r="C1009" s="646"/>
      <c r="D1009" s="535"/>
      <c r="H1009" s="534"/>
    </row>
    <row r="1010" spans="1:8" s="533" customFormat="1">
      <c r="A1010" s="535"/>
      <c r="B1010" s="535"/>
      <c r="C1010" s="646"/>
      <c r="D1010" s="535"/>
      <c r="H1010" s="534"/>
    </row>
    <row r="1011" spans="1:8" s="533" customFormat="1">
      <c r="A1011" s="535"/>
      <c r="B1011" s="535"/>
      <c r="C1011" s="646"/>
      <c r="D1011" s="535"/>
      <c r="H1011" s="534"/>
    </row>
    <row r="1012" spans="1:8" s="533" customFormat="1">
      <c r="A1012" s="535"/>
      <c r="B1012" s="535"/>
      <c r="C1012" s="646"/>
      <c r="D1012" s="535"/>
      <c r="H1012" s="534"/>
    </row>
    <row r="1013" spans="1:8" s="533" customFormat="1">
      <c r="A1013" s="535"/>
      <c r="B1013" s="535"/>
      <c r="C1013" s="646"/>
      <c r="D1013" s="535"/>
      <c r="H1013" s="534"/>
    </row>
    <row r="1014" spans="1:8" s="533" customFormat="1">
      <c r="A1014" s="535"/>
      <c r="B1014" s="535"/>
      <c r="C1014" s="646"/>
      <c r="D1014" s="535"/>
      <c r="H1014" s="534"/>
    </row>
    <row r="1015" spans="1:8" s="533" customFormat="1">
      <c r="A1015" s="535"/>
      <c r="B1015" s="535"/>
      <c r="C1015" s="646"/>
      <c r="D1015" s="535"/>
      <c r="H1015" s="534"/>
    </row>
    <row r="1016" spans="1:8" s="533" customFormat="1">
      <c r="A1016" s="535"/>
      <c r="B1016" s="535"/>
      <c r="C1016" s="646"/>
      <c r="D1016" s="535"/>
      <c r="H1016" s="534"/>
    </row>
    <row r="1017" spans="1:8" s="533" customFormat="1">
      <c r="A1017" s="535"/>
      <c r="B1017" s="535"/>
      <c r="C1017" s="646"/>
      <c r="D1017" s="535"/>
      <c r="H1017" s="534"/>
    </row>
    <row r="1018" spans="1:8" s="533" customFormat="1">
      <c r="A1018" s="535"/>
      <c r="B1018" s="535"/>
      <c r="C1018" s="646"/>
      <c r="D1018" s="535"/>
      <c r="H1018" s="534"/>
    </row>
    <row r="1019" spans="1:8" s="533" customFormat="1">
      <c r="A1019" s="535"/>
      <c r="B1019" s="535"/>
      <c r="C1019" s="646"/>
      <c r="D1019" s="535"/>
      <c r="H1019" s="534"/>
    </row>
    <row r="1020" spans="1:8" s="533" customFormat="1">
      <c r="A1020" s="535"/>
      <c r="B1020" s="535"/>
      <c r="C1020" s="646"/>
      <c r="D1020" s="535"/>
      <c r="H1020" s="534"/>
    </row>
    <row r="1021" spans="1:8" s="533" customFormat="1">
      <c r="A1021" s="535"/>
      <c r="B1021" s="535"/>
      <c r="C1021" s="646"/>
      <c r="D1021" s="535"/>
      <c r="H1021" s="534"/>
    </row>
    <row r="1022" spans="1:8" s="533" customFormat="1">
      <c r="A1022" s="535"/>
      <c r="B1022" s="535"/>
      <c r="C1022" s="646"/>
      <c r="D1022" s="535"/>
      <c r="H1022" s="534"/>
    </row>
    <row r="1023" spans="1:8" s="533" customFormat="1">
      <c r="A1023" s="535"/>
      <c r="B1023" s="535"/>
      <c r="C1023" s="646"/>
      <c r="D1023" s="535"/>
      <c r="H1023" s="534"/>
    </row>
    <row r="1024" spans="1:8" s="533" customFormat="1">
      <c r="A1024" s="535"/>
      <c r="B1024" s="535"/>
      <c r="C1024" s="646"/>
      <c r="D1024" s="535"/>
      <c r="H1024" s="534"/>
    </row>
    <row r="1025" spans="1:8" s="533" customFormat="1">
      <c r="A1025" s="535"/>
      <c r="B1025" s="535"/>
      <c r="C1025" s="646"/>
      <c r="D1025" s="535"/>
      <c r="H1025" s="534"/>
    </row>
    <row r="1026" spans="1:8" s="533" customFormat="1">
      <c r="A1026" s="535"/>
      <c r="B1026" s="535"/>
      <c r="C1026" s="646"/>
      <c r="D1026" s="535"/>
      <c r="H1026" s="534"/>
    </row>
    <row r="1027" spans="1:8" s="533" customFormat="1">
      <c r="A1027" s="535"/>
      <c r="B1027" s="535"/>
      <c r="C1027" s="646"/>
      <c r="D1027" s="535"/>
      <c r="H1027" s="534"/>
    </row>
    <row r="1028" spans="1:8" s="533" customFormat="1">
      <c r="A1028" s="535"/>
      <c r="B1028" s="535"/>
      <c r="C1028" s="646"/>
      <c r="D1028" s="535"/>
      <c r="H1028" s="534"/>
    </row>
    <row r="1029" spans="1:8" s="533" customFormat="1">
      <c r="A1029" s="535"/>
      <c r="B1029" s="535"/>
      <c r="C1029" s="646"/>
      <c r="D1029" s="535"/>
      <c r="H1029" s="534"/>
    </row>
    <row r="1030" spans="1:8" s="533" customFormat="1">
      <c r="A1030" s="535"/>
      <c r="B1030" s="535"/>
      <c r="C1030" s="646"/>
      <c r="D1030" s="535"/>
      <c r="H1030" s="534"/>
    </row>
    <row r="1031" spans="1:8" s="533" customFormat="1">
      <c r="A1031" s="535"/>
      <c r="B1031" s="535"/>
      <c r="C1031" s="646"/>
      <c r="D1031" s="535"/>
      <c r="H1031" s="534"/>
    </row>
    <row r="1032" spans="1:8" s="533" customFormat="1">
      <c r="A1032" s="535"/>
      <c r="B1032" s="535"/>
      <c r="C1032" s="646"/>
      <c r="D1032" s="535"/>
      <c r="H1032" s="534"/>
    </row>
    <row r="1033" spans="1:8" s="533" customFormat="1">
      <c r="A1033" s="535"/>
      <c r="B1033" s="535"/>
      <c r="C1033" s="646"/>
      <c r="D1033" s="535"/>
      <c r="H1033" s="534"/>
    </row>
    <row r="1034" spans="1:8" s="533" customFormat="1">
      <c r="A1034" s="535"/>
      <c r="B1034" s="535"/>
      <c r="C1034" s="646"/>
      <c r="D1034" s="535"/>
      <c r="H1034" s="534"/>
    </row>
    <row r="1035" spans="1:8" s="533" customFormat="1">
      <c r="A1035" s="535"/>
      <c r="B1035" s="535"/>
      <c r="C1035" s="646"/>
      <c r="D1035" s="535"/>
      <c r="H1035" s="534"/>
    </row>
    <row r="1036" spans="1:8" s="533" customFormat="1">
      <c r="A1036" s="535"/>
      <c r="B1036" s="535"/>
      <c r="C1036" s="646"/>
      <c r="D1036" s="535"/>
      <c r="H1036" s="534"/>
    </row>
    <row r="1037" spans="1:8" s="533" customFormat="1">
      <c r="A1037" s="535"/>
      <c r="B1037" s="535"/>
      <c r="C1037" s="646"/>
      <c r="D1037" s="535"/>
      <c r="H1037" s="534"/>
    </row>
    <row r="1038" spans="1:8" s="533" customFormat="1">
      <c r="A1038" s="535"/>
      <c r="B1038" s="535"/>
      <c r="C1038" s="646"/>
      <c r="D1038" s="535"/>
      <c r="H1038" s="534"/>
    </row>
    <row r="1039" spans="1:8" s="533" customFormat="1">
      <c r="A1039" s="535"/>
      <c r="B1039" s="535"/>
      <c r="C1039" s="646"/>
      <c r="D1039" s="535"/>
      <c r="H1039" s="534"/>
    </row>
    <row r="1040" spans="1:8" s="533" customFormat="1">
      <c r="A1040" s="535"/>
      <c r="B1040" s="535"/>
      <c r="C1040" s="646"/>
      <c r="D1040" s="535"/>
      <c r="H1040" s="534"/>
    </row>
    <row r="1041" spans="1:8" s="533" customFormat="1">
      <c r="A1041" s="535"/>
      <c r="B1041" s="535"/>
      <c r="C1041" s="646"/>
      <c r="D1041" s="535"/>
      <c r="H1041" s="534"/>
    </row>
    <row r="1042" spans="1:8" s="533" customFormat="1">
      <c r="A1042" s="535"/>
      <c r="B1042" s="535"/>
      <c r="C1042" s="646"/>
      <c r="D1042" s="535"/>
      <c r="H1042" s="534"/>
    </row>
    <row r="1043" spans="1:8" s="533" customFormat="1">
      <c r="A1043" s="535"/>
      <c r="B1043" s="535"/>
      <c r="C1043" s="646"/>
      <c r="D1043" s="535"/>
      <c r="H1043" s="534"/>
    </row>
    <row r="1044" spans="1:8" s="533" customFormat="1">
      <c r="A1044" s="535"/>
      <c r="B1044" s="535"/>
      <c r="C1044" s="646"/>
      <c r="D1044" s="535"/>
      <c r="H1044" s="534"/>
    </row>
    <row r="1045" spans="1:8" s="533" customFormat="1">
      <c r="A1045" s="535"/>
      <c r="B1045" s="535"/>
      <c r="C1045" s="646"/>
      <c r="D1045" s="535"/>
      <c r="H1045" s="534"/>
    </row>
    <row r="1046" spans="1:8" s="533" customFormat="1">
      <c r="A1046" s="535"/>
      <c r="B1046" s="535"/>
      <c r="C1046" s="646"/>
      <c r="D1046" s="535"/>
      <c r="H1046" s="534"/>
    </row>
    <row r="1047" spans="1:8" s="533" customFormat="1">
      <c r="A1047" s="535"/>
      <c r="B1047" s="535"/>
      <c r="C1047" s="646"/>
      <c r="D1047" s="535"/>
      <c r="H1047" s="534"/>
    </row>
    <row r="1048" spans="1:8" s="533" customFormat="1">
      <c r="A1048" s="535"/>
      <c r="B1048" s="535"/>
      <c r="C1048" s="646"/>
      <c r="D1048" s="535"/>
      <c r="H1048" s="534"/>
    </row>
    <row r="1049" spans="1:8" s="533" customFormat="1">
      <c r="A1049" s="535"/>
      <c r="B1049" s="535"/>
      <c r="C1049" s="646"/>
      <c r="D1049" s="535"/>
      <c r="H1049" s="534"/>
    </row>
    <row r="1050" spans="1:8" s="533" customFormat="1">
      <c r="A1050" s="535"/>
      <c r="B1050" s="535"/>
      <c r="C1050" s="646"/>
      <c r="D1050" s="535"/>
      <c r="H1050" s="534"/>
    </row>
    <row r="1051" spans="1:8" s="533" customFormat="1">
      <c r="A1051" s="535"/>
      <c r="B1051" s="535"/>
      <c r="C1051" s="646"/>
      <c r="D1051" s="535"/>
      <c r="H1051" s="534"/>
    </row>
    <row r="1052" spans="1:8" s="533" customFormat="1">
      <c r="A1052" s="535"/>
      <c r="B1052" s="535"/>
      <c r="C1052" s="646"/>
      <c r="D1052" s="535"/>
      <c r="H1052" s="534"/>
    </row>
    <row r="1053" spans="1:8" s="533" customFormat="1">
      <c r="A1053" s="535"/>
      <c r="B1053" s="535"/>
      <c r="C1053" s="646"/>
      <c r="D1053" s="535"/>
      <c r="H1053" s="534"/>
    </row>
    <row r="1054" spans="1:8" s="533" customFormat="1">
      <c r="A1054" s="535"/>
      <c r="B1054" s="535"/>
      <c r="C1054" s="646"/>
      <c r="D1054" s="535"/>
      <c r="H1054" s="534"/>
    </row>
    <row r="1055" spans="1:8" s="533" customFormat="1">
      <c r="A1055" s="535"/>
      <c r="B1055" s="535"/>
      <c r="C1055" s="646"/>
      <c r="D1055" s="535"/>
      <c r="H1055" s="534"/>
    </row>
    <row r="1056" spans="1:8" s="533" customFormat="1">
      <c r="A1056" s="535"/>
      <c r="B1056" s="535"/>
      <c r="C1056" s="646"/>
      <c r="D1056" s="535"/>
      <c r="H1056" s="534"/>
    </row>
    <row r="1057" spans="1:8" s="533" customFormat="1">
      <c r="A1057" s="535"/>
      <c r="B1057" s="535"/>
      <c r="C1057" s="646"/>
      <c r="D1057" s="535"/>
      <c r="H1057" s="534"/>
    </row>
    <row r="1058" spans="1:8" s="533" customFormat="1">
      <c r="A1058" s="535"/>
      <c r="B1058" s="535"/>
      <c r="C1058" s="646"/>
      <c r="D1058" s="535"/>
      <c r="H1058" s="534"/>
    </row>
    <row r="1059" spans="1:8" s="533" customFormat="1">
      <c r="A1059" s="535"/>
      <c r="B1059" s="535"/>
      <c r="C1059" s="646"/>
      <c r="D1059" s="535"/>
      <c r="H1059" s="534"/>
    </row>
    <row r="1060" spans="1:8" s="533" customFormat="1">
      <c r="A1060" s="535"/>
      <c r="B1060" s="535"/>
      <c r="C1060" s="646"/>
      <c r="D1060" s="535"/>
      <c r="H1060" s="534"/>
    </row>
    <row r="1061" spans="1:8" s="533" customFormat="1">
      <c r="A1061" s="535"/>
      <c r="B1061" s="535"/>
      <c r="C1061" s="646"/>
      <c r="D1061" s="535"/>
      <c r="H1061" s="534"/>
    </row>
    <row r="1062" spans="1:8" s="533" customFormat="1">
      <c r="A1062" s="535"/>
      <c r="B1062" s="535"/>
      <c r="C1062" s="646"/>
      <c r="D1062" s="535"/>
      <c r="H1062" s="534"/>
    </row>
    <row r="1063" spans="1:8" s="533" customFormat="1">
      <c r="A1063" s="535"/>
      <c r="B1063" s="535"/>
      <c r="C1063" s="646"/>
      <c r="D1063" s="535"/>
      <c r="H1063" s="534"/>
    </row>
    <row r="1064" spans="1:8" s="533" customFormat="1">
      <c r="A1064" s="535"/>
      <c r="B1064" s="535"/>
      <c r="C1064" s="646"/>
      <c r="D1064" s="535"/>
      <c r="H1064" s="534"/>
    </row>
    <row r="1065" spans="1:8" s="533" customFormat="1">
      <c r="A1065" s="535"/>
      <c r="B1065" s="535"/>
      <c r="C1065" s="646"/>
      <c r="D1065" s="535"/>
      <c r="H1065" s="534"/>
    </row>
    <row r="1066" spans="1:8" s="533" customFormat="1">
      <c r="A1066" s="535"/>
      <c r="B1066" s="535"/>
      <c r="C1066" s="646"/>
      <c r="D1066" s="535"/>
      <c r="H1066" s="534"/>
    </row>
    <row r="1067" spans="1:8" s="533" customFormat="1">
      <c r="A1067" s="535"/>
      <c r="B1067" s="535"/>
      <c r="C1067" s="646"/>
      <c r="D1067" s="535"/>
      <c r="H1067" s="534"/>
    </row>
    <row r="1068" spans="1:8" s="533" customFormat="1">
      <c r="A1068" s="535"/>
      <c r="B1068" s="535"/>
      <c r="C1068" s="646"/>
      <c r="D1068" s="535"/>
      <c r="H1068" s="534"/>
    </row>
    <row r="1069" spans="1:8" s="533" customFormat="1">
      <c r="A1069" s="535"/>
      <c r="B1069" s="535"/>
      <c r="C1069" s="646"/>
      <c r="D1069" s="535"/>
      <c r="H1069" s="534"/>
    </row>
    <row r="1070" spans="1:8" s="533" customFormat="1">
      <c r="A1070" s="535"/>
      <c r="B1070" s="535"/>
      <c r="C1070" s="646"/>
      <c r="D1070" s="535"/>
      <c r="H1070" s="534"/>
    </row>
    <row r="1071" spans="1:8" s="533" customFormat="1">
      <c r="A1071" s="535"/>
      <c r="B1071" s="535"/>
      <c r="C1071" s="646"/>
      <c r="D1071" s="535"/>
      <c r="H1071" s="534"/>
    </row>
    <row r="1072" spans="1:8" s="533" customFormat="1">
      <c r="A1072" s="535"/>
      <c r="B1072" s="535"/>
      <c r="C1072" s="646"/>
      <c r="D1072" s="535"/>
      <c r="H1072" s="534"/>
    </row>
    <row r="1073" spans="1:8" s="533" customFormat="1">
      <c r="A1073" s="535"/>
      <c r="B1073" s="535"/>
      <c r="C1073" s="646"/>
      <c r="D1073" s="535"/>
      <c r="H1073" s="534"/>
    </row>
    <row r="1074" spans="1:8" s="533" customFormat="1">
      <c r="A1074" s="535"/>
      <c r="B1074" s="535"/>
      <c r="C1074" s="646"/>
      <c r="D1074" s="535"/>
      <c r="H1074" s="534"/>
    </row>
    <row r="1075" spans="1:8" s="533" customFormat="1">
      <c r="A1075" s="535"/>
      <c r="B1075" s="535"/>
      <c r="C1075" s="646"/>
      <c r="D1075" s="535"/>
      <c r="H1075" s="534"/>
    </row>
    <row r="1076" spans="1:8" s="533" customFormat="1">
      <c r="A1076" s="535"/>
      <c r="B1076" s="535"/>
      <c r="C1076" s="646"/>
      <c r="D1076" s="535"/>
      <c r="H1076" s="534"/>
    </row>
    <row r="1077" spans="1:8" s="533" customFormat="1">
      <c r="A1077" s="535"/>
      <c r="B1077" s="535"/>
      <c r="C1077" s="646"/>
      <c r="D1077" s="535"/>
      <c r="H1077" s="534"/>
    </row>
    <row r="1078" spans="1:8" s="533" customFormat="1">
      <c r="A1078" s="535"/>
      <c r="B1078" s="535"/>
      <c r="C1078" s="646"/>
      <c r="D1078" s="535"/>
      <c r="H1078" s="534"/>
    </row>
    <row r="1079" spans="1:8" s="533" customFormat="1">
      <c r="A1079" s="535"/>
      <c r="B1079" s="535"/>
      <c r="C1079" s="646"/>
      <c r="D1079" s="535"/>
      <c r="H1079" s="534"/>
    </row>
    <row r="1080" spans="1:8" s="533" customFormat="1">
      <c r="A1080" s="535"/>
      <c r="B1080" s="535"/>
      <c r="C1080" s="646"/>
      <c r="D1080" s="535"/>
      <c r="H1080" s="534"/>
    </row>
    <row r="1081" spans="1:8" s="533" customFormat="1">
      <c r="A1081" s="535"/>
      <c r="B1081" s="535"/>
      <c r="C1081" s="646"/>
      <c r="D1081" s="535"/>
      <c r="H1081" s="534"/>
    </row>
    <row r="1082" spans="1:8" s="533" customFormat="1">
      <c r="A1082" s="535"/>
      <c r="B1082" s="535"/>
      <c r="C1082" s="646"/>
      <c r="D1082" s="535"/>
      <c r="H1082" s="534"/>
    </row>
    <row r="1083" spans="1:8" s="533" customFormat="1">
      <c r="A1083" s="535"/>
      <c r="B1083" s="535"/>
      <c r="C1083" s="646"/>
      <c r="D1083" s="535"/>
      <c r="H1083" s="534"/>
    </row>
    <row r="1084" spans="1:8" s="533" customFormat="1">
      <c r="A1084" s="535"/>
      <c r="B1084" s="535"/>
      <c r="C1084" s="646"/>
      <c r="D1084" s="535"/>
      <c r="H1084" s="534"/>
    </row>
    <row r="1085" spans="1:8" s="533" customFormat="1">
      <c r="A1085" s="535"/>
      <c r="B1085" s="535"/>
      <c r="C1085" s="646"/>
      <c r="D1085" s="535"/>
      <c r="H1085" s="534"/>
    </row>
    <row r="1086" spans="1:8" s="533" customFormat="1">
      <c r="A1086" s="535"/>
      <c r="B1086" s="535"/>
      <c r="C1086" s="646"/>
      <c r="D1086" s="535"/>
      <c r="H1086" s="534"/>
    </row>
    <row r="1087" spans="1:8" s="533" customFormat="1">
      <c r="A1087" s="535"/>
      <c r="B1087" s="535"/>
      <c r="C1087" s="646"/>
      <c r="D1087" s="535"/>
      <c r="H1087" s="534"/>
    </row>
    <row r="1088" spans="1:8" s="533" customFormat="1">
      <c r="A1088" s="535"/>
      <c r="B1088" s="535"/>
      <c r="C1088" s="646"/>
      <c r="D1088" s="535"/>
      <c r="H1088" s="534"/>
    </row>
    <row r="1089" spans="1:8" s="533" customFormat="1">
      <c r="A1089" s="535"/>
      <c r="B1089" s="535"/>
      <c r="C1089" s="646"/>
      <c r="D1089" s="535"/>
      <c r="H1089" s="534"/>
    </row>
    <row r="1090" spans="1:8" s="533" customFormat="1">
      <c r="A1090" s="535"/>
      <c r="B1090" s="535"/>
      <c r="C1090" s="646"/>
      <c r="D1090" s="535"/>
      <c r="H1090" s="534"/>
    </row>
    <row r="1091" spans="1:8" s="533" customFormat="1">
      <c r="A1091" s="535"/>
      <c r="B1091" s="535"/>
      <c r="C1091" s="646"/>
      <c r="D1091" s="535"/>
      <c r="H1091" s="534"/>
    </row>
    <row r="1092" spans="1:8" s="533" customFormat="1">
      <c r="A1092" s="535"/>
      <c r="B1092" s="535"/>
      <c r="C1092" s="646"/>
      <c r="D1092" s="535"/>
      <c r="H1092" s="534"/>
    </row>
    <row r="1093" spans="1:8" s="533" customFormat="1">
      <c r="A1093" s="535"/>
      <c r="B1093" s="535"/>
      <c r="C1093" s="646"/>
      <c r="D1093" s="535"/>
      <c r="H1093" s="534"/>
    </row>
    <row r="1094" spans="1:8" s="533" customFormat="1">
      <c r="A1094" s="535"/>
      <c r="B1094" s="535"/>
      <c r="C1094" s="646"/>
      <c r="D1094" s="535"/>
      <c r="H1094" s="534"/>
    </row>
    <row r="1095" spans="1:8" s="533" customFormat="1">
      <c r="A1095" s="535"/>
      <c r="B1095" s="535"/>
      <c r="C1095" s="646"/>
      <c r="D1095" s="535"/>
      <c r="H1095" s="534"/>
    </row>
    <row r="1096" spans="1:8" s="533" customFormat="1">
      <c r="A1096" s="535"/>
      <c r="B1096" s="535"/>
      <c r="C1096" s="646"/>
      <c r="D1096" s="535"/>
      <c r="H1096" s="534"/>
    </row>
    <row r="1097" spans="1:8" s="533" customFormat="1">
      <c r="A1097" s="535"/>
      <c r="B1097" s="535"/>
      <c r="C1097" s="646"/>
      <c r="D1097" s="535"/>
      <c r="H1097" s="534"/>
    </row>
    <row r="1098" spans="1:8" s="533" customFormat="1">
      <c r="A1098" s="535"/>
      <c r="B1098" s="535"/>
      <c r="C1098" s="646"/>
      <c r="D1098" s="535"/>
      <c r="H1098" s="534"/>
    </row>
    <row r="1099" spans="1:8" s="533" customFormat="1">
      <c r="A1099" s="535"/>
      <c r="B1099" s="535"/>
      <c r="C1099" s="646"/>
      <c r="D1099" s="535"/>
      <c r="H1099" s="534"/>
    </row>
    <row r="1100" spans="1:8" s="533" customFormat="1">
      <c r="A1100" s="535"/>
      <c r="B1100" s="535"/>
      <c r="C1100" s="646"/>
      <c r="D1100" s="535"/>
      <c r="H1100" s="534"/>
    </row>
    <row r="1101" spans="1:8" s="533" customFormat="1">
      <c r="A1101" s="535"/>
      <c r="B1101" s="535"/>
      <c r="C1101" s="646"/>
      <c r="D1101" s="535"/>
      <c r="H1101" s="534"/>
    </row>
    <row r="1102" spans="1:8" s="533" customFormat="1">
      <c r="A1102" s="535"/>
      <c r="B1102" s="535"/>
      <c r="C1102" s="646"/>
      <c r="D1102" s="535"/>
      <c r="H1102" s="534"/>
    </row>
    <row r="1103" spans="1:8" s="533" customFormat="1">
      <c r="A1103" s="535"/>
      <c r="B1103" s="535"/>
      <c r="C1103" s="646"/>
      <c r="D1103" s="535"/>
      <c r="H1103" s="534"/>
    </row>
    <row r="1104" spans="1:8" s="533" customFormat="1">
      <c r="A1104" s="535"/>
      <c r="B1104" s="535"/>
      <c r="C1104" s="646"/>
      <c r="D1104" s="535"/>
      <c r="H1104" s="534"/>
    </row>
    <row r="1105" spans="1:8" s="533" customFormat="1">
      <c r="A1105" s="535"/>
      <c r="B1105" s="535"/>
      <c r="C1105" s="646"/>
      <c r="D1105" s="535"/>
      <c r="H1105" s="534"/>
    </row>
    <row r="1106" spans="1:8" s="533" customFormat="1">
      <c r="A1106" s="535"/>
      <c r="B1106" s="535"/>
      <c r="C1106" s="646"/>
      <c r="D1106" s="535"/>
      <c r="H1106" s="534"/>
    </row>
    <row r="1107" spans="1:8" s="533" customFormat="1">
      <c r="A1107" s="535"/>
      <c r="B1107" s="535"/>
      <c r="C1107" s="646"/>
      <c r="D1107" s="535"/>
      <c r="H1107" s="534"/>
    </row>
    <row r="1108" spans="1:8" s="533" customFormat="1">
      <c r="A1108" s="535"/>
      <c r="B1108" s="535"/>
      <c r="C1108" s="646"/>
      <c r="D1108" s="535"/>
      <c r="H1108" s="534"/>
    </row>
    <row r="1109" spans="1:8" s="533" customFormat="1">
      <c r="A1109" s="535"/>
      <c r="B1109" s="535"/>
      <c r="C1109" s="646"/>
      <c r="D1109" s="535"/>
      <c r="H1109" s="534"/>
    </row>
    <row r="1110" spans="1:8" s="533" customFormat="1">
      <c r="A1110" s="535"/>
      <c r="B1110" s="535"/>
      <c r="C1110" s="646"/>
      <c r="D1110" s="535"/>
      <c r="H1110" s="534"/>
    </row>
    <row r="1111" spans="1:8" s="533" customFormat="1">
      <c r="A1111" s="535"/>
      <c r="B1111" s="535"/>
      <c r="C1111" s="646"/>
      <c r="D1111" s="535"/>
      <c r="H1111" s="534"/>
    </row>
    <row r="1112" spans="1:8" s="533" customFormat="1">
      <c r="A1112" s="535"/>
      <c r="B1112" s="535"/>
      <c r="C1112" s="646"/>
      <c r="D1112" s="535"/>
      <c r="H1112" s="534"/>
    </row>
    <row r="1113" spans="1:8" s="533" customFormat="1">
      <c r="A1113" s="535"/>
      <c r="B1113" s="535"/>
      <c r="C1113" s="646"/>
      <c r="D1113" s="535"/>
      <c r="H1113" s="534"/>
    </row>
    <row r="1114" spans="1:8" s="533" customFormat="1">
      <c r="A1114" s="535"/>
      <c r="B1114" s="535"/>
      <c r="C1114" s="646"/>
      <c r="D1114" s="535"/>
      <c r="H1114" s="534"/>
    </row>
    <row r="1115" spans="1:8" s="533" customFormat="1">
      <c r="A1115" s="535"/>
      <c r="B1115" s="535"/>
      <c r="C1115" s="646"/>
      <c r="D1115" s="535"/>
      <c r="H1115" s="534"/>
    </row>
    <row r="1116" spans="1:8" s="533" customFormat="1">
      <c r="A1116" s="535"/>
      <c r="B1116" s="535"/>
      <c r="C1116" s="646"/>
      <c r="D1116" s="535"/>
      <c r="H1116" s="534"/>
    </row>
    <row r="1117" spans="1:8" s="533" customFormat="1">
      <c r="A1117" s="535"/>
      <c r="B1117" s="535"/>
      <c r="C1117" s="646"/>
      <c r="D1117" s="535"/>
      <c r="H1117" s="534"/>
    </row>
    <row r="1118" spans="1:8" s="533" customFormat="1">
      <c r="A1118" s="535"/>
      <c r="B1118" s="535"/>
      <c r="C1118" s="646"/>
      <c r="D1118" s="535"/>
      <c r="H1118" s="534"/>
    </row>
    <row r="1119" spans="1:8" s="533" customFormat="1">
      <c r="A1119" s="535"/>
      <c r="B1119" s="535"/>
      <c r="C1119" s="646"/>
      <c r="D1119" s="535"/>
      <c r="H1119" s="534"/>
    </row>
    <row r="1120" spans="1:8" s="533" customFormat="1">
      <c r="A1120" s="535"/>
      <c r="B1120" s="535"/>
      <c r="C1120" s="646"/>
      <c r="D1120" s="535"/>
      <c r="H1120" s="534"/>
    </row>
    <row r="1121" spans="1:8" s="533" customFormat="1">
      <c r="A1121" s="535"/>
      <c r="B1121" s="535"/>
      <c r="C1121" s="646"/>
      <c r="D1121" s="535"/>
      <c r="H1121" s="534"/>
    </row>
    <row r="1122" spans="1:8" s="533" customFormat="1">
      <c r="A1122" s="535"/>
      <c r="B1122" s="535"/>
      <c r="C1122" s="646"/>
      <c r="D1122" s="535"/>
      <c r="H1122" s="534"/>
    </row>
    <row r="1123" spans="1:8" s="533" customFormat="1">
      <c r="A1123" s="535"/>
      <c r="B1123" s="535"/>
      <c r="C1123" s="646"/>
      <c r="D1123" s="535"/>
      <c r="H1123" s="534"/>
    </row>
    <row r="1124" spans="1:8" s="533" customFormat="1">
      <c r="A1124" s="535"/>
      <c r="B1124" s="535"/>
      <c r="C1124" s="646"/>
      <c r="D1124" s="535"/>
      <c r="H1124" s="534"/>
    </row>
    <row r="1125" spans="1:8" s="533" customFormat="1">
      <c r="A1125" s="535"/>
      <c r="B1125" s="535"/>
      <c r="C1125" s="646"/>
      <c r="D1125" s="535"/>
      <c r="H1125" s="534"/>
    </row>
    <row r="1126" spans="1:8" s="533" customFormat="1">
      <c r="A1126" s="535"/>
      <c r="B1126" s="535"/>
      <c r="C1126" s="646"/>
      <c r="D1126" s="535"/>
      <c r="H1126" s="534"/>
    </row>
    <row r="1127" spans="1:8" s="533" customFormat="1">
      <c r="A1127" s="535"/>
      <c r="B1127" s="535"/>
      <c r="C1127" s="646"/>
      <c r="D1127" s="535"/>
      <c r="H1127" s="534"/>
    </row>
    <row r="1128" spans="1:8" s="533" customFormat="1">
      <c r="A1128" s="535"/>
      <c r="B1128" s="535"/>
      <c r="C1128" s="646"/>
      <c r="D1128" s="535"/>
      <c r="H1128" s="534"/>
    </row>
    <row r="1129" spans="1:8" s="533" customFormat="1">
      <c r="A1129" s="535"/>
      <c r="B1129" s="535"/>
      <c r="C1129" s="646"/>
      <c r="D1129" s="535"/>
      <c r="H1129" s="534"/>
    </row>
    <row r="1130" spans="1:8" s="533" customFormat="1">
      <c r="A1130" s="535"/>
      <c r="B1130" s="535"/>
      <c r="C1130" s="646"/>
      <c r="D1130" s="535"/>
      <c r="H1130" s="534"/>
    </row>
    <row r="1131" spans="1:8" s="533" customFormat="1">
      <c r="A1131" s="535"/>
      <c r="B1131" s="535"/>
      <c r="C1131" s="646"/>
      <c r="D1131" s="535"/>
      <c r="H1131" s="534"/>
    </row>
    <row r="1132" spans="1:8" s="533" customFormat="1">
      <c r="A1132" s="535"/>
      <c r="B1132" s="535"/>
      <c r="C1132" s="646"/>
      <c r="D1132" s="535"/>
      <c r="H1132" s="534"/>
    </row>
    <row r="1133" spans="1:8" s="533" customFormat="1">
      <c r="A1133" s="535"/>
      <c r="B1133" s="535"/>
      <c r="C1133" s="646"/>
      <c r="D1133" s="535"/>
      <c r="H1133" s="534"/>
    </row>
    <row r="1134" spans="1:8" s="533" customFormat="1">
      <c r="A1134" s="535"/>
      <c r="B1134" s="535"/>
      <c r="C1134" s="646"/>
      <c r="D1134" s="535"/>
      <c r="H1134" s="534"/>
    </row>
    <row r="1135" spans="1:8" s="533" customFormat="1">
      <c r="A1135" s="535"/>
      <c r="B1135" s="535"/>
      <c r="C1135" s="646"/>
      <c r="D1135" s="535"/>
      <c r="H1135" s="534"/>
    </row>
    <row r="1136" spans="1:8" s="533" customFormat="1">
      <c r="A1136" s="535"/>
      <c r="B1136" s="535"/>
      <c r="C1136" s="646"/>
      <c r="D1136" s="535"/>
      <c r="H1136" s="534"/>
    </row>
    <row r="1137" spans="1:8" s="533" customFormat="1">
      <c r="A1137" s="535"/>
      <c r="B1137" s="535"/>
      <c r="C1137" s="646"/>
      <c r="D1137" s="535"/>
      <c r="H1137" s="534"/>
    </row>
    <row r="1138" spans="1:8" s="533" customFormat="1">
      <c r="A1138" s="535"/>
      <c r="B1138" s="535"/>
      <c r="C1138" s="646"/>
      <c r="D1138" s="535"/>
      <c r="H1138" s="534"/>
    </row>
    <row r="1139" spans="1:8" s="533" customFormat="1">
      <c r="A1139" s="535"/>
      <c r="B1139" s="535"/>
      <c r="C1139" s="646"/>
      <c r="D1139" s="535"/>
      <c r="H1139" s="534"/>
    </row>
    <row r="1140" spans="1:8" s="533" customFormat="1">
      <c r="A1140" s="535"/>
      <c r="B1140" s="535"/>
      <c r="C1140" s="646"/>
      <c r="D1140" s="535"/>
      <c r="H1140" s="534"/>
    </row>
    <row r="1141" spans="1:8" s="533" customFormat="1">
      <c r="A1141" s="535"/>
      <c r="B1141" s="535"/>
      <c r="C1141" s="646"/>
      <c r="D1141" s="535"/>
      <c r="H1141" s="534"/>
    </row>
    <row r="1142" spans="1:8" s="533" customFormat="1">
      <c r="A1142" s="535"/>
      <c r="B1142" s="535"/>
      <c r="C1142" s="646"/>
      <c r="D1142" s="535"/>
      <c r="H1142" s="534"/>
    </row>
    <row r="1143" spans="1:8" s="533" customFormat="1">
      <c r="A1143" s="535"/>
      <c r="B1143" s="535"/>
      <c r="C1143" s="646"/>
      <c r="D1143" s="535"/>
      <c r="H1143" s="534"/>
    </row>
    <row r="1144" spans="1:8" s="533" customFormat="1">
      <c r="A1144" s="535"/>
      <c r="B1144" s="535"/>
      <c r="C1144" s="646"/>
      <c r="D1144" s="535"/>
      <c r="H1144" s="534"/>
    </row>
    <row r="1145" spans="1:8" s="533" customFormat="1">
      <c r="A1145" s="535"/>
      <c r="B1145" s="535"/>
      <c r="C1145" s="646"/>
      <c r="D1145" s="535"/>
      <c r="H1145" s="534"/>
    </row>
    <row r="1146" spans="1:8" s="533" customFormat="1">
      <c r="A1146" s="535"/>
      <c r="B1146" s="535"/>
      <c r="C1146" s="646"/>
      <c r="D1146" s="535"/>
      <c r="H1146" s="534"/>
    </row>
    <row r="1147" spans="1:8" s="533" customFormat="1">
      <c r="A1147" s="535"/>
      <c r="B1147" s="535"/>
      <c r="C1147" s="646"/>
      <c r="D1147" s="535"/>
      <c r="H1147" s="534"/>
    </row>
    <row r="1148" spans="1:8" s="533" customFormat="1">
      <c r="A1148" s="535"/>
      <c r="B1148" s="535"/>
      <c r="C1148" s="646"/>
      <c r="D1148" s="535"/>
      <c r="H1148" s="534"/>
    </row>
    <row r="1149" spans="1:8" s="533" customFormat="1">
      <c r="A1149" s="535"/>
      <c r="B1149" s="535"/>
      <c r="C1149" s="646"/>
      <c r="D1149" s="535"/>
      <c r="H1149" s="534"/>
    </row>
    <row r="1150" spans="1:8" s="533" customFormat="1">
      <c r="A1150" s="535"/>
      <c r="B1150" s="535"/>
      <c r="C1150" s="646"/>
      <c r="D1150" s="535"/>
      <c r="H1150" s="534"/>
    </row>
    <row r="1151" spans="1:8" s="533" customFormat="1">
      <c r="A1151" s="535"/>
      <c r="B1151" s="535"/>
      <c r="C1151" s="646"/>
      <c r="D1151" s="535"/>
      <c r="H1151" s="534"/>
    </row>
  </sheetData>
  <mergeCells count="296">
    <mergeCell ref="D2:E3"/>
    <mergeCell ref="A4:H4"/>
    <mergeCell ref="A7:A8"/>
    <mergeCell ref="B7:B8"/>
    <mergeCell ref="C7:C8"/>
    <mergeCell ref="D7:D8"/>
    <mergeCell ref="E7:E8"/>
    <mergeCell ref="F7:F8"/>
    <mergeCell ref="G7:G8"/>
    <mergeCell ref="H7:H8"/>
    <mergeCell ref="D34:D35"/>
    <mergeCell ref="B38:C38"/>
    <mergeCell ref="B39:B41"/>
    <mergeCell ref="A11:A49"/>
    <mergeCell ref="B12:C12"/>
    <mergeCell ref="B13:B17"/>
    <mergeCell ref="C13:C17"/>
    <mergeCell ref="B18:C18"/>
    <mergeCell ref="B20:C20"/>
    <mergeCell ref="B21:B25"/>
    <mergeCell ref="C21:C25"/>
    <mergeCell ref="B26:C26"/>
    <mergeCell ref="B29:C29"/>
    <mergeCell ref="B42:C42"/>
    <mergeCell ref="B44:C44"/>
    <mergeCell ref="B45:B48"/>
    <mergeCell ref="B49:C49"/>
    <mergeCell ref="B51:C51"/>
    <mergeCell ref="B53:C53"/>
    <mergeCell ref="B30:B32"/>
    <mergeCell ref="B33:C33"/>
    <mergeCell ref="B34:B35"/>
    <mergeCell ref="A67:A70"/>
    <mergeCell ref="B68:C68"/>
    <mergeCell ref="B70:C70"/>
    <mergeCell ref="B73:C73"/>
    <mergeCell ref="D74:D75"/>
    <mergeCell ref="B77:C77"/>
    <mergeCell ref="B55:C55"/>
    <mergeCell ref="B56:B58"/>
    <mergeCell ref="B59:C59"/>
    <mergeCell ref="A61:A65"/>
    <mergeCell ref="B62:C62"/>
    <mergeCell ref="B63:B64"/>
    <mergeCell ref="B65:C65"/>
    <mergeCell ref="B81:C81"/>
    <mergeCell ref="B91:C91"/>
    <mergeCell ref="B93:C93"/>
    <mergeCell ref="B94:C94"/>
    <mergeCell ref="B97:C97"/>
    <mergeCell ref="B98:B100"/>
    <mergeCell ref="B101:C101"/>
    <mergeCell ref="B103:C103"/>
    <mergeCell ref="D124:D125"/>
    <mergeCell ref="B104:B105"/>
    <mergeCell ref="B106:C106"/>
    <mergeCell ref="B108:C108"/>
    <mergeCell ref="B109:B121"/>
    <mergeCell ref="C109:C118"/>
    <mergeCell ref="B122:C122"/>
    <mergeCell ref="A137:A140"/>
    <mergeCell ref="B138:C138"/>
    <mergeCell ref="B140:C140"/>
    <mergeCell ref="A142:A153"/>
    <mergeCell ref="B143:C143"/>
    <mergeCell ref="B144:B150"/>
    <mergeCell ref="B151:C151"/>
    <mergeCell ref="B152:B153"/>
    <mergeCell ref="B123:B129"/>
    <mergeCell ref="C128:C129"/>
    <mergeCell ref="B131:C131"/>
    <mergeCell ref="B132:B134"/>
    <mergeCell ref="B135:C135"/>
    <mergeCell ref="B178:C178"/>
    <mergeCell ref="B180:C180"/>
    <mergeCell ref="B182:C182"/>
    <mergeCell ref="A184:A190"/>
    <mergeCell ref="B185:C185"/>
    <mergeCell ref="B186:B189"/>
    <mergeCell ref="B190:C190"/>
    <mergeCell ref="A157:A182"/>
    <mergeCell ref="B158:C158"/>
    <mergeCell ref="B159:B162"/>
    <mergeCell ref="C159:C162"/>
    <mergeCell ref="B163:C163"/>
    <mergeCell ref="B166:C166"/>
    <mergeCell ref="B168:C168"/>
    <mergeCell ref="B170:C170"/>
    <mergeCell ref="B171:B177"/>
    <mergeCell ref="C173:C174"/>
    <mergeCell ref="A210:A229"/>
    <mergeCell ref="B211:C211"/>
    <mergeCell ref="B212:B222"/>
    <mergeCell ref="C212:C220"/>
    <mergeCell ref="B223:C223"/>
    <mergeCell ref="B226:C226"/>
    <mergeCell ref="A193:A198"/>
    <mergeCell ref="B194:C194"/>
    <mergeCell ref="B195:B197"/>
    <mergeCell ref="B198:C198"/>
    <mergeCell ref="A200:A204"/>
    <mergeCell ref="B201:C201"/>
    <mergeCell ref="B202:B203"/>
    <mergeCell ref="B204:C204"/>
    <mergeCell ref="B227:B228"/>
    <mergeCell ref="B229:C229"/>
    <mergeCell ref="B231:C231"/>
    <mergeCell ref="B232:B243"/>
    <mergeCell ref="C232:C235"/>
    <mergeCell ref="D236:D240"/>
    <mergeCell ref="D241:D242"/>
    <mergeCell ref="B206:C206"/>
    <mergeCell ref="B207:B208"/>
    <mergeCell ref="C207:C208"/>
    <mergeCell ref="B209:C209"/>
    <mergeCell ref="A256:A272"/>
    <mergeCell ref="B257:C257"/>
    <mergeCell ref="B258:B271"/>
    <mergeCell ref="C258:C259"/>
    <mergeCell ref="D260:D263"/>
    <mergeCell ref="D264:D267"/>
    <mergeCell ref="D268:D269"/>
    <mergeCell ref="B272:C272"/>
    <mergeCell ref="B244:C244"/>
    <mergeCell ref="B245:B246"/>
    <mergeCell ref="B248:C248"/>
    <mergeCell ref="B250:C250"/>
    <mergeCell ref="B253:C253"/>
    <mergeCell ref="B255:C255"/>
    <mergeCell ref="B276:C276"/>
    <mergeCell ref="B278:C278"/>
    <mergeCell ref="B281:C281"/>
    <mergeCell ref="B283:C283"/>
    <mergeCell ref="A285:A296"/>
    <mergeCell ref="B286:C286"/>
    <mergeCell ref="B287:B290"/>
    <mergeCell ref="B291:C291"/>
    <mergeCell ref="B293:C293"/>
    <mergeCell ref="B294:B295"/>
    <mergeCell ref="B296:C296"/>
    <mergeCell ref="A298:A340"/>
    <mergeCell ref="B299:C299"/>
    <mergeCell ref="B301:C301"/>
    <mergeCell ref="B303:C303"/>
    <mergeCell ref="B304:C304"/>
    <mergeCell ref="B307:C307"/>
    <mergeCell ref="B309:C309"/>
    <mergeCell ref="B311:C311"/>
    <mergeCell ref="B313:C313"/>
    <mergeCell ref="B325:B330"/>
    <mergeCell ref="D327:D328"/>
    <mergeCell ref="D329:D330"/>
    <mergeCell ref="B332:C332"/>
    <mergeCell ref="B333:B337"/>
    <mergeCell ref="B338:C338"/>
    <mergeCell ref="B315:C315"/>
    <mergeCell ref="B317:C317"/>
    <mergeCell ref="B319:C319"/>
    <mergeCell ref="B320:B323"/>
    <mergeCell ref="D322:D323"/>
    <mergeCell ref="B324:C324"/>
    <mergeCell ref="A342:A378"/>
    <mergeCell ref="B343:C343"/>
    <mergeCell ref="B344:B345"/>
    <mergeCell ref="B346:C346"/>
    <mergeCell ref="B348:C348"/>
    <mergeCell ref="B350:C350"/>
    <mergeCell ref="B352:C352"/>
    <mergeCell ref="B353:B356"/>
    <mergeCell ref="C353:C356"/>
    <mergeCell ref="B357:C357"/>
    <mergeCell ref="B372:B375"/>
    <mergeCell ref="C372:C375"/>
    <mergeCell ref="B378:C378"/>
    <mergeCell ref="B380:C380"/>
    <mergeCell ref="B382:C382"/>
    <mergeCell ref="B384:C384"/>
    <mergeCell ref="B359:C359"/>
    <mergeCell ref="B360:B368"/>
    <mergeCell ref="D361:D363"/>
    <mergeCell ref="D365:D368"/>
    <mergeCell ref="B369:C369"/>
    <mergeCell ref="B371:C371"/>
    <mergeCell ref="B403:C403"/>
    <mergeCell ref="B404:B406"/>
    <mergeCell ref="B407:C407"/>
    <mergeCell ref="B408:B410"/>
    <mergeCell ref="B412:C412"/>
    <mergeCell ref="B413:C413"/>
    <mergeCell ref="B385:B393"/>
    <mergeCell ref="C385:C386"/>
    <mergeCell ref="D388:D389"/>
    <mergeCell ref="B394:C394"/>
    <mergeCell ref="B398:C398"/>
    <mergeCell ref="B400:C400"/>
    <mergeCell ref="B427:C427"/>
    <mergeCell ref="B430:C430"/>
    <mergeCell ref="B432:C432"/>
    <mergeCell ref="B435:C435"/>
    <mergeCell ref="A436:A439"/>
    <mergeCell ref="B437:C437"/>
    <mergeCell ref="B439:C439"/>
    <mergeCell ref="A415:A417"/>
    <mergeCell ref="B416:C416"/>
    <mergeCell ref="B417:C417"/>
    <mergeCell ref="B418:B421"/>
    <mergeCell ref="B423:C423"/>
    <mergeCell ref="B424:C424"/>
    <mergeCell ref="B457:C457"/>
    <mergeCell ref="B459:C459"/>
    <mergeCell ref="B460:B466"/>
    <mergeCell ref="B467:C467"/>
    <mergeCell ref="B468:B469"/>
    <mergeCell ref="B472:C472"/>
    <mergeCell ref="B441:C441"/>
    <mergeCell ref="B443:C443"/>
    <mergeCell ref="B446:C446"/>
    <mergeCell ref="B448:C448"/>
    <mergeCell ref="B450:C450"/>
    <mergeCell ref="B451:B456"/>
    <mergeCell ref="C451:C456"/>
    <mergeCell ref="B491:C491"/>
    <mergeCell ref="B492:B498"/>
    <mergeCell ref="D495:D496"/>
    <mergeCell ref="D497:D498"/>
    <mergeCell ref="B499:C499"/>
    <mergeCell ref="B503:C503"/>
    <mergeCell ref="B474:C474"/>
    <mergeCell ref="A475:A488"/>
    <mergeCell ref="B476:C476"/>
    <mergeCell ref="B477:B487"/>
    <mergeCell ref="C477:C483"/>
    <mergeCell ref="B488:C488"/>
    <mergeCell ref="B517:C517"/>
    <mergeCell ref="B519:C519"/>
    <mergeCell ref="B521:C521"/>
    <mergeCell ref="B523:C523"/>
    <mergeCell ref="B524:B526"/>
    <mergeCell ref="B527:C527"/>
    <mergeCell ref="B505:C505"/>
    <mergeCell ref="B508:C508"/>
    <mergeCell ref="B510:C510"/>
    <mergeCell ref="B512:C512"/>
    <mergeCell ref="B513:B516"/>
    <mergeCell ref="C513:C514"/>
    <mergeCell ref="B530:C530"/>
    <mergeCell ref="B532:C532"/>
    <mergeCell ref="A533:A548"/>
    <mergeCell ref="B534:C534"/>
    <mergeCell ref="B536:C536"/>
    <mergeCell ref="B538:C538"/>
    <mergeCell ref="B539:B541"/>
    <mergeCell ref="B542:C542"/>
    <mergeCell ref="B544:C544"/>
    <mergeCell ref="B545:B547"/>
    <mergeCell ref="B559:C559"/>
    <mergeCell ref="B561:C561"/>
    <mergeCell ref="B563:C563"/>
    <mergeCell ref="B565:C565"/>
    <mergeCell ref="B567:C567"/>
    <mergeCell ref="B570:C570"/>
    <mergeCell ref="C545:C547"/>
    <mergeCell ref="B548:C548"/>
    <mergeCell ref="B550:C550"/>
    <mergeCell ref="B553:C553"/>
    <mergeCell ref="B556:C556"/>
    <mergeCell ref="B557:B558"/>
    <mergeCell ref="B584:C584"/>
    <mergeCell ref="B586:C586"/>
    <mergeCell ref="A588:A592"/>
    <mergeCell ref="B589:C589"/>
    <mergeCell ref="B590:B591"/>
    <mergeCell ref="B592:C592"/>
    <mergeCell ref="B572:C572"/>
    <mergeCell ref="B575:C575"/>
    <mergeCell ref="B576:C576"/>
    <mergeCell ref="A578:A582"/>
    <mergeCell ref="B579:C579"/>
    <mergeCell ref="B580:B581"/>
    <mergeCell ref="B582:C582"/>
    <mergeCell ref="A618:C618"/>
    <mergeCell ref="A619:C619"/>
    <mergeCell ref="A609:A615"/>
    <mergeCell ref="B610:C610"/>
    <mergeCell ref="B611:B613"/>
    <mergeCell ref="B614:C614"/>
    <mergeCell ref="A616:C616"/>
    <mergeCell ref="A617:C617"/>
    <mergeCell ref="A595:A607"/>
    <mergeCell ref="B596:C596"/>
    <mergeCell ref="B597:B600"/>
    <mergeCell ref="C597:C598"/>
    <mergeCell ref="B601:C601"/>
    <mergeCell ref="B604:C604"/>
    <mergeCell ref="B605:B606"/>
    <mergeCell ref="B607:C60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Strona &amp;P z &amp;N</oddFooter>
  </headerFooter>
  <rowBreaks count="12" manualBreakCount="12">
    <brk id="65" max="7" man="1"/>
    <brk id="168" max="7" man="1"/>
    <brk id="259" max="7" man="1"/>
    <brk id="283" max="7" man="1"/>
    <brk id="360" max="7" man="1"/>
    <brk id="369" max="7" man="1"/>
    <brk id="408" max="7" man="1"/>
    <brk id="430" max="7" man="1"/>
    <brk id="448" max="7" man="1"/>
    <brk id="496" max="7" man="1"/>
    <brk id="536" max="7" man="1"/>
    <brk id="5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A1:K2104"/>
  <sheetViews>
    <sheetView showGridLines="0" view="pageBreakPreview" topLeftCell="A2059" zoomScale="110" zoomScaleNormal="110" zoomScaleSheetLayoutView="110" workbookViewId="0">
      <selection activeCell="M85" sqref="M85"/>
    </sheetView>
  </sheetViews>
  <sheetFormatPr defaultRowHeight="12.75"/>
  <cols>
    <col min="1" max="1" width="7" style="1037" customWidth="1"/>
    <col min="2" max="2" width="11.42578125" style="1037" customWidth="1"/>
    <col min="3" max="3" width="12.85546875" style="1037" bestFit="1" customWidth="1"/>
    <col min="4" max="4" width="71.85546875" style="1037" customWidth="1"/>
    <col min="5" max="5" width="15.140625" style="1037" customWidth="1"/>
    <col min="6" max="7" width="14.7109375" style="1037" customWidth="1"/>
    <col min="8" max="8" width="14.7109375" style="1781" customWidth="1"/>
    <col min="9" max="9" width="15.5703125" style="1036" bestFit="1" customWidth="1"/>
    <col min="10" max="10" width="13.85546875" style="1037" customWidth="1"/>
    <col min="11" max="11" width="11.140625" style="1037" customWidth="1"/>
    <col min="12" max="16384" width="9.140625" style="1037"/>
  </cols>
  <sheetData>
    <row r="1" spans="1:9" ht="18.75" customHeight="1">
      <c r="A1" s="2338" t="s">
        <v>555</v>
      </c>
      <c r="B1" s="2338"/>
      <c r="C1" s="2338"/>
      <c r="D1" s="2338"/>
      <c r="E1" s="2338"/>
      <c r="F1" s="2338"/>
      <c r="G1" s="2338"/>
      <c r="H1" s="2338"/>
    </row>
    <row r="2" spans="1:9" ht="13.5" customHeight="1">
      <c r="A2" s="2338"/>
      <c r="B2" s="2338"/>
      <c r="C2" s="2338"/>
      <c r="D2" s="2338"/>
      <c r="E2" s="2338"/>
      <c r="F2" s="2338"/>
      <c r="G2" s="2338"/>
      <c r="H2" s="2338"/>
    </row>
    <row r="3" spans="1:9" ht="7.5" customHeight="1">
      <c r="A3" s="2338"/>
      <c r="B3" s="2338"/>
      <c r="C3" s="2338"/>
      <c r="D3" s="2338"/>
      <c r="E3" s="2338"/>
      <c r="F3" s="2338"/>
      <c r="G3" s="2338"/>
      <c r="H3" s="2338"/>
    </row>
    <row r="4" spans="1:9" ht="27" customHeight="1">
      <c r="A4" s="2338"/>
      <c r="B4" s="2338"/>
      <c r="C4" s="2338"/>
      <c r="D4" s="2338"/>
      <c r="E4" s="2338"/>
      <c r="F4" s="2338"/>
      <c r="G4" s="2338"/>
      <c r="H4" s="2338"/>
    </row>
    <row r="5" spans="1:9" s="1038" customFormat="1" ht="10.5" customHeight="1" thickBot="1">
      <c r="A5" s="2339"/>
      <c r="B5" s="2339"/>
      <c r="C5" s="2339"/>
      <c r="D5" s="2339"/>
      <c r="H5" s="1039"/>
      <c r="I5" s="1040"/>
    </row>
    <row r="6" spans="1:9" ht="36" customHeight="1" thickBot="1">
      <c r="A6" s="1041" t="s">
        <v>0</v>
      </c>
      <c r="B6" s="1042" t="s">
        <v>44</v>
      </c>
      <c r="C6" s="1043" t="s">
        <v>8</v>
      </c>
      <c r="D6" s="1042" t="s">
        <v>556</v>
      </c>
      <c r="E6" s="1044" t="s">
        <v>557</v>
      </c>
      <c r="F6" s="1044" t="s">
        <v>23</v>
      </c>
      <c r="G6" s="1044" t="s">
        <v>20</v>
      </c>
      <c r="H6" s="1045" t="s">
        <v>239</v>
      </c>
    </row>
    <row r="7" spans="1:9" ht="17.100000000000001" customHeight="1" thickBot="1">
      <c r="A7" s="1046" t="s">
        <v>1</v>
      </c>
      <c r="B7" s="1047" t="s">
        <v>2</v>
      </c>
      <c r="C7" s="1048" t="s">
        <v>3</v>
      </c>
      <c r="D7" s="1046" t="s">
        <v>4</v>
      </c>
      <c r="E7" s="1049" t="s">
        <v>240</v>
      </c>
      <c r="F7" s="1049" t="s">
        <v>241</v>
      </c>
      <c r="G7" s="1049" t="s">
        <v>242</v>
      </c>
      <c r="H7" s="1050" t="s">
        <v>243</v>
      </c>
    </row>
    <row r="8" spans="1:9" ht="17.100000000000001" customHeight="1" thickBot="1">
      <c r="A8" s="1051" t="s">
        <v>5</v>
      </c>
      <c r="B8" s="1052"/>
      <c r="C8" s="1053"/>
      <c r="D8" s="1054" t="s">
        <v>558</v>
      </c>
      <c r="E8" s="1055">
        <f>SUM(E9,E45,E70,E101,E134,E154,E150)</f>
        <v>35784735</v>
      </c>
      <c r="F8" s="1055">
        <f>SUM(F9,F45,F70,F101,F134,F154,F150)</f>
        <v>36978490</v>
      </c>
      <c r="G8" s="1055">
        <f>SUM(G9,G45,G70,G101,G134,G154,G150)</f>
        <v>36110021</v>
      </c>
      <c r="H8" s="1056">
        <f>G8/F8</f>
        <v>0.97651421136990724</v>
      </c>
    </row>
    <row r="9" spans="1:9" ht="17.100000000000001" customHeight="1" thickBot="1">
      <c r="A9" s="1057"/>
      <c r="B9" s="1058" t="s">
        <v>245</v>
      </c>
      <c r="C9" s="1059"/>
      <c r="D9" s="1060" t="s">
        <v>559</v>
      </c>
      <c r="E9" s="1061">
        <f>E10+E42</f>
        <v>10870356</v>
      </c>
      <c r="F9" s="1061">
        <f>F10+F42</f>
        <v>11120356</v>
      </c>
      <c r="G9" s="1061">
        <f t="shared" ref="G9" si="0">G10+G42</f>
        <v>10969758</v>
      </c>
      <c r="H9" s="1062">
        <f t="shared" ref="H9:H72" si="1">G9/F9</f>
        <v>0.98645744794501178</v>
      </c>
    </row>
    <row r="10" spans="1:9" ht="17.100000000000001" customHeight="1">
      <c r="A10" s="1057"/>
      <c r="B10" s="2258"/>
      <c r="C10" s="2112" t="s">
        <v>560</v>
      </c>
      <c r="D10" s="2112"/>
      <c r="E10" s="1063">
        <f>E11+E39</f>
        <v>10810356</v>
      </c>
      <c r="F10" s="1063">
        <f t="shared" ref="F10:G10" si="2">F11+F39</f>
        <v>11060356</v>
      </c>
      <c r="G10" s="1063">
        <f t="shared" si="2"/>
        <v>10909939</v>
      </c>
      <c r="H10" s="1064">
        <f t="shared" si="1"/>
        <v>0.98640034733059223</v>
      </c>
    </row>
    <row r="11" spans="1:9" ht="17.100000000000001" customHeight="1">
      <c r="A11" s="1057"/>
      <c r="B11" s="2258"/>
      <c r="C11" s="2340" t="s">
        <v>561</v>
      </c>
      <c r="D11" s="2340"/>
      <c r="E11" s="1065">
        <f>E12+E19</f>
        <v>10741356</v>
      </c>
      <c r="F11" s="1065">
        <f t="shared" ref="F11:G11" si="3">F12+F19</f>
        <v>10982256</v>
      </c>
      <c r="G11" s="1065">
        <f t="shared" si="3"/>
        <v>10831866</v>
      </c>
      <c r="H11" s="1066">
        <f t="shared" si="1"/>
        <v>0.98630609230016131</v>
      </c>
    </row>
    <row r="12" spans="1:9" ht="17.100000000000001" customHeight="1">
      <c r="A12" s="1057"/>
      <c r="B12" s="2258"/>
      <c r="C12" s="2341" t="s">
        <v>562</v>
      </c>
      <c r="D12" s="2341"/>
      <c r="E12" s="1067">
        <f>SUM(E13:E17)</f>
        <v>8855556</v>
      </c>
      <c r="F12" s="1067">
        <f>SUM(F13:F17)</f>
        <v>9185356</v>
      </c>
      <c r="G12" s="1067">
        <f>SUM(G13:G17)</f>
        <v>9155542</v>
      </c>
      <c r="H12" s="1068">
        <f t="shared" si="1"/>
        <v>0.99675418132949878</v>
      </c>
    </row>
    <row r="13" spans="1:9" ht="17.100000000000001" customHeight="1">
      <c r="A13" s="1057"/>
      <c r="B13" s="1069"/>
      <c r="C13" s="1070" t="s">
        <v>145</v>
      </c>
      <c r="D13" s="1071" t="s">
        <v>563</v>
      </c>
      <c r="E13" s="1072">
        <v>6845100</v>
      </c>
      <c r="F13" s="1072">
        <v>7175640</v>
      </c>
      <c r="G13" s="1072">
        <v>7175562</v>
      </c>
      <c r="H13" s="1073">
        <f t="shared" si="1"/>
        <v>0.99998912988945932</v>
      </c>
    </row>
    <row r="14" spans="1:9" ht="17.100000000000001" customHeight="1">
      <c r="A14" s="1057"/>
      <c r="B14" s="1069"/>
      <c r="C14" s="1070" t="s">
        <v>564</v>
      </c>
      <c r="D14" s="1071" t="s">
        <v>565</v>
      </c>
      <c r="E14" s="1072">
        <v>491600</v>
      </c>
      <c r="F14" s="1072">
        <v>473260</v>
      </c>
      <c r="G14" s="1072">
        <v>473260</v>
      </c>
      <c r="H14" s="1073">
        <f t="shared" si="1"/>
        <v>1</v>
      </c>
    </row>
    <row r="15" spans="1:9" ht="17.100000000000001" customHeight="1">
      <c r="A15" s="1057"/>
      <c r="B15" s="1069"/>
      <c r="C15" s="1070" t="s">
        <v>146</v>
      </c>
      <c r="D15" s="1071" t="s">
        <v>566</v>
      </c>
      <c r="E15" s="1072">
        <v>1256656</v>
      </c>
      <c r="F15" s="1072">
        <v>1267256</v>
      </c>
      <c r="G15" s="1072">
        <v>1241645</v>
      </c>
      <c r="H15" s="1073">
        <f t="shared" si="1"/>
        <v>0.97979019235261067</v>
      </c>
    </row>
    <row r="16" spans="1:9" ht="17.100000000000001" customHeight="1">
      <c r="A16" s="1057"/>
      <c r="B16" s="1069"/>
      <c r="C16" s="1070" t="s">
        <v>147</v>
      </c>
      <c r="D16" s="1071" t="s">
        <v>567</v>
      </c>
      <c r="E16" s="1072">
        <v>132200</v>
      </c>
      <c r="F16" s="1072">
        <v>137400</v>
      </c>
      <c r="G16" s="1072">
        <v>134769</v>
      </c>
      <c r="H16" s="1073">
        <f t="shared" si="1"/>
        <v>0.98085152838427947</v>
      </c>
    </row>
    <row r="17" spans="1:8" ht="17.100000000000001" customHeight="1">
      <c r="A17" s="1057"/>
      <c r="B17" s="1069"/>
      <c r="C17" s="1070" t="s">
        <v>568</v>
      </c>
      <c r="D17" s="1071" t="s">
        <v>569</v>
      </c>
      <c r="E17" s="1072">
        <v>130000</v>
      </c>
      <c r="F17" s="1072">
        <v>131800</v>
      </c>
      <c r="G17" s="1072">
        <v>130306</v>
      </c>
      <c r="H17" s="1073">
        <f t="shared" si="1"/>
        <v>0.98866464339908955</v>
      </c>
    </row>
    <row r="18" spans="1:8" ht="17.100000000000001" customHeight="1">
      <c r="A18" s="1057"/>
      <c r="B18" s="1069"/>
      <c r="C18" s="1074"/>
      <c r="D18" s="1074"/>
      <c r="E18" s="1075"/>
      <c r="F18" s="1075"/>
      <c r="G18" s="1075"/>
      <c r="H18" s="1076"/>
    </row>
    <row r="19" spans="1:8" ht="17.100000000000001" customHeight="1">
      <c r="A19" s="1057"/>
      <c r="B19" s="1069"/>
      <c r="C19" s="2331" t="s">
        <v>570</v>
      </c>
      <c r="D19" s="2331"/>
      <c r="E19" s="1067">
        <f>SUM(E20:E37)</f>
        <v>1885800</v>
      </c>
      <c r="F19" s="1067">
        <f>SUM(F20:F37)</f>
        <v>1796900</v>
      </c>
      <c r="G19" s="1067">
        <f>SUM(G20:G37)</f>
        <v>1676324</v>
      </c>
      <c r="H19" s="1068">
        <f t="shared" si="1"/>
        <v>0.93289776837887473</v>
      </c>
    </row>
    <row r="20" spans="1:8" ht="17.100000000000001" customHeight="1">
      <c r="A20" s="1057"/>
      <c r="B20" s="1069"/>
      <c r="C20" s="1070" t="s">
        <v>571</v>
      </c>
      <c r="D20" s="1071" t="s">
        <v>572</v>
      </c>
      <c r="E20" s="1072">
        <v>94000</v>
      </c>
      <c r="F20" s="1072">
        <v>79900</v>
      </c>
      <c r="G20" s="1072">
        <v>79312</v>
      </c>
      <c r="H20" s="1073">
        <f t="shared" si="1"/>
        <v>0.99264080100125152</v>
      </c>
    </row>
    <row r="21" spans="1:8" ht="17.100000000000001" customHeight="1">
      <c r="A21" s="1057"/>
      <c r="B21" s="1069"/>
      <c r="C21" s="1070" t="s">
        <v>143</v>
      </c>
      <c r="D21" s="1071" t="s">
        <v>573</v>
      </c>
      <c r="E21" s="1072">
        <v>655000</v>
      </c>
      <c r="F21" s="1072">
        <v>658500</v>
      </c>
      <c r="G21" s="1072">
        <v>658480</v>
      </c>
      <c r="H21" s="1073">
        <f t="shared" si="1"/>
        <v>0.99996962794229305</v>
      </c>
    </row>
    <row r="22" spans="1:8" ht="17.100000000000001" customHeight="1">
      <c r="A22" s="1057"/>
      <c r="B22" s="1069"/>
      <c r="C22" s="1070" t="s">
        <v>574</v>
      </c>
      <c r="D22" s="1071" t="s">
        <v>575</v>
      </c>
      <c r="E22" s="1072">
        <v>3600</v>
      </c>
      <c r="F22" s="1072">
        <v>3600</v>
      </c>
      <c r="G22" s="1072">
        <v>3600</v>
      </c>
      <c r="H22" s="1073">
        <f t="shared" si="1"/>
        <v>1</v>
      </c>
    </row>
    <row r="23" spans="1:8" ht="17.100000000000001" customHeight="1">
      <c r="A23" s="1057"/>
      <c r="B23" s="1069"/>
      <c r="C23" s="1070" t="s">
        <v>576</v>
      </c>
      <c r="D23" s="1071" t="s">
        <v>577</v>
      </c>
      <c r="E23" s="1072">
        <v>120000</v>
      </c>
      <c r="F23" s="1072">
        <v>140000</v>
      </c>
      <c r="G23" s="1072">
        <v>84913</v>
      </c>
      <c r="H23" s="1073">
        <f t="shared" si="1"/>
        <v>0.60652142857142854</v>
      </c>
    </row>
    <row r="24" spans="1:8" ht="17.100000000000001" customHeight="1">
      <c r="A24" s="1057"/>
      <c r="B24" s="1069"/>
      <c r="C24" s="1070" t="s">
        <v>24</v>
      </c>
      <c r="D24" s="1071" t="s">
        <v>578</v>
      </c>
      <c r="E24" s="1072">
        <v>78000</v>
      </c>
      <c r="F24" s="1072">
        <v>83000</v>
      </c>
      <c r="G24" s="1072">
        <v>76604</v>
      </c>
      <c r="H24" s="1073">
        <f t="shared" si="1"/>
        <v>0.92293975903614456</v>
      </c>
    </row>
    <row r="25" spans="1:8" ht="17.100000000000001" customHeight="1">
      <c r="A25" s="1057"/>
      <c r="B25" s="1069"/>
      <c r="C25" s="1070" t="s">
        <v>579</v>
      </c>
      <c r="D25" s="1071" t="s">
        <v>580</v>
      </c>
      <c r="E25" s="1072">
        <v>9000</v>
      </c>
      <c r="F25" s="1072">
        <v>9650</v>
      </c>
      <c r="G25" s="1072">
        <v>9650</v>
      </c>
      <c r="H25" s="1073">
        <f t="shared" si="1"/>
        <v>1</v>
      </c>
    </row>
    <row r="26" spans="1:8" ht="17.100000000000001" customHeight="1">
      <c r="A26" s="1057"/>
      <c r="B26" s="1069"/>
      <c r="C26" s="1070" t="s">
        <v>25</v>
      </c>
      <c r="D26" s="1071" t="s">
        <v>581</v>
      </c>
      <c r="E26" s="1072">
        <v>242888</v>
      </c>
      <c r="F26" s="1072">
        <v>294238</v>
      </c>
      <c r="G26" s="1072">
        <v>254813</v>
      </c>
      <c r="H26" s="1073">
        <f t="shared" si="1"/>
        <v>0.86600982877806398</v>
      </c>
    </row>
    <row r="27" spans="1:8" ht="16.5" customHeight="1">
      <c r="A27" s="1057"/>
      <c r="B27" s="1069"/>
      <c r="C27" s="1070" t="s">
        <v>582</v>
      </c>
      <c r="D27" s="1071" t="s">
        <v>583</v>
      </c>
      <c r="E27" s="1072">
        <v>36380</v>
      </c>
      <c r="F27" s="1072">
        <v>41380</v>
      </c>
      <c r="G27" s="1072">
        <v>40531</v>
      </c>
      <c r="H27" s="1073">
        <f t="shared" si="1"/>
        <v>0.97948284195263413</v>
      </c>
    </row>
    <row r="28" spans="1:8" ht="16.5" customHeight="1">
      <c r="A28" s="1057"/>
      <c r="B28" s="1069"/>
      <c r="C28" s="1070" t="s">
        <v>164</v>
      </c>
      <c r="D28" s="1071" t="s">
        <v>584</v>
      </c>
      <c r="E28" s="1072">
        <v>15000</v>
      </c>
      <c r="F28" s="1072">
        <v>4000</v>
      </c>
      <c r="G28" s="1072">
        <v>0</v>
      </c>
      <c r="H28" s="1073">
        <f t="shared" si="1"/>
        <v>0</v>
      </c>
    </row>
    <row r="29" spans="1:8" ht="20.100000000000001" customHeight="1">
      <c r="A29" s="1057"/>
      <c r="B29" s="1069"/>
      <c r="C29" s="1070" t="s">
        <v>585</v>
      </c>
      <c r="D29" s="1071" t="s">
        <v>586</v>
      </c>
      <c r="E29" s="1072">
        <v>325830</v>
      </c>
      <c r="F29" s="1072">
        <v>235830</v>
      </c>
      <c r="G29" s="1072">
        <v>233005</v>
      </c>
      <c r="H29" s="1073">
        <f t="shared" si="1"/>
        <v>0.98802103209939363</v>
      </c>
    </row>
    <row r="30" spans="1:8" ht="17.100000000000001" customHeight="1">
      <c r="A30" s="1057"/>
      <c r="B30" s="1069"/>
      <c r="C30" s="1070" t="s">
        <v>587</v>
      </c>
      <c r="D30" s="1071" t="s">
        <v>588</v>
      </c>
      <c r="E30" s="1072">
        <v>100000</v>
      </c>
      <c r="F30" s="1072">
        <v>12000</v>
      </c>
      <c r="G30" s="1072">
        <v>11441</v>
      </c>
      <c r="H30" s="1073">
        <f t="shared" si="1"/>
        <v>0.95341666666666669</v>
      </c>
    </row>
    <row r="31" spans="1:8" ht="17.100000000000001" customHeight="1">
      <c r="A31" s="1057"/>
      <c r="B31" s="1069"/>
      <c r="C31" s="1070" t="s">
        <v>589</v>
      </c>
      <c r="D31" s="1071" t="s">
        <v>590</v>
      </c>
      <c r="E31" s="1072">
        <v>54900</v>
      </c>
      <c r="F31" s="1072">
        <v>70900</v>
      </c>
      <c r="G31" s="1072">
        <v>70541</v>
      </c>
      <c r="H31" s="1073">
        <f t="shared" si="1"/>
        <v>0.99493653032440055</v>
      </c>
    </row>
    <row r="32" spans="1:8" ht="17.100000000000001" customHeight="1">
      <c r="A32" s="1057"/>
      <c r="B32" s="1069"/>
      <c r="C32" s="1070" t="s">
        <v>591</v>
      </c>
      <c r="D32" s="1071" t="s">
        <v>592</v>
      </c>
      <c r="E32" s="1072">
        <v>133743</v>
      </c>
      <c r="F32" s="1072">
        <v>133743</v>
      </c>
      <c r="G32" s="1072">
        <v>127613</v>
      </c>
      <c r="H32" s="1073">
        <f t="shared" si="1"/>
        <v>0.9541658255011477</v>
      </c>
    </row>
    <row r="33" spans="1:8" ht="17.100000000000001" customHeight="1">
      <c r="A33" s="1057"/>
      <c r="B33" s="1069"/>
      <c r="C33" s="1070" t="s">
        <v>593</v>
      </c>
      <c r="D33" s="1071" t="s">
        <v>594</v>
      </c>
      <c r="E33" s="1072">
        <v>4830</v>
      </c>
      <c r="F33" s="1072">
        <v>6542</v>
      </c>
      <c r="G33" s="1072">
        <v>3635</v>
      </c>
      <c r="H33" s="1073">
        <f t="shared" si="1"/>
        <v>0.55564047691837359</v>
      </c>
    </row>
    <row r="34" spans="1:8" ht="17.100000000000001" customHeight="1">
      <c r="A34" s="1057"/>
      <c r="B34" s="1069"/>
      <c r="C34" s="1070" t="s">
        <v>595</v>
      </c>
      <c r="D34" s="1071" t="s">
        <v>596</v>
      </c>
      <c r="E34" s="1072">
        <v>2000</v>
      </c>
      <c r="F34" s="1072">
        <v>2180</v>
      </c>
      <c r="G34" s="1072">
        <v>1934</v>
      </c>
      <c r="H34" s="1073">
        <f t="shared" si="1"/>
        <v>0.88715596330275226</v>
      </c>
    </row>
    <row r="35" spans="1:8" ht="17.100000000000001" customHeight="1">
      <c r="A35" s="1057"/>
      <c r="B35" s="1069"/>
      <c r="C35" s="1070" t="s">
        <v>597</v>
      </c>
      <c r="D35" s="1071" t="s">
        <v>598</v>
      </c>
      <c r="E35" s="1072">
        <v>629</v>
      </c>
      <c r="F35" s="1072">
        <v>3437</v>
      </c>
      <c r="G35" s="1072">
        <v>3220</v>
      </c>
      <c r="H35" s="1073">
        <f t="shared" si="1"/>
        <v>0.93686354378818737</v>
      </c>
    </row>
    <row r="36" spans="1:8" ht="17.100000000000001" customHeight="1">
      <c r="A36" s="1057"/>
      <c r="B36" s="1069"/>
      <c r="C36" s="1070" t="s">
        <v>599</v>
      </c>
      <c r="D36" s="1071" t="s">
        <v>600</v>
      </c>
      <c r="E36" s="1072">
        <v>1000</v>
      </c>
      <c r="F36" s="1072">
        <v>0</v>
      </c>
      <c r="G36" s="1072">
        <v>0</v>
      </c>
      <c r="H36" s="1073"/>
    </row>
    <row r="37" spans="1:8" ht="17.100000000000001" customHeight="1">
      <c r="A37" s="1057"/>
      <c r="B37" s="1069"/>
      <c r="C37" s="1070" t="s">
        <v>148</v>
      </c>
      <c r="D37" s="1071" t="s">
        <v>601</v>
      </c>
      <c r="E37" s="1072">
        <v>9000</v>
      </c>
      <c r="F37" s="1072">
        <v>18000</v>
      </c>
      <c r="G37" s="1072">
        <v>17032</v>
      </c>
      <c r="H37" s="1073">
        <f t="shared" si="1"/>
        <v>0.94622222222222219</v>
      </c>
    </row>
    <row r="38" spans="1:8" ht="17.100000000000001" customHeight="1">
      <c r="A38" s="1057"/>
      <c r="B38" s="1069"/>
      <c r="C38" s="2332"/>
      <c r="D38" s="2332"/>
      <c r="E38" s="1075"/>
      <c r="F38" s="1075"/>
      <c r="G38" s="1075"/>
      <c r="H38" s="1076"/>
    </row>
    <row r="39" spans="1:8" ht="17.100000000000001" customHeight="1">
      <c r="A39" s="1057"/>
      <c r="B39" s="1069"/>
      <c r="C39" s="2333" t="s">
        <v>602</v>
      </c>
      <c r="D39" s="2333"/>
      <c r="E39" s="1072">
        <f t="shared" ref="E39:G39" si="4">E40</f>
        <v>69000</v>
      </c>
      <c r="F39" s="1072">
        <f t="shared" si="4"/>
        <v>78100</v>
      </c>
      <c r="G39" s="1072">
        <f t="shared" si="4"/>
        <v>78073</v>
      </c>
      <c r="H39" s="1073">
        <f t="shared" si="1"/>
        <v>0.99965428937259926</v>
      </c>
    </row>
    <row r="40" spans="1:8" ht="17.100000000000001" customHeight="1">
      <c r="A40" s="1057"/>
      <c r="B40" s="1069"/>
      <c r="C40" s="1077" t="s">
        <v>603</v>
      </c>
      <c r="D40" s="1078" t="s">
        <v>604</v>
      </c>
      <c r="E40" s="1079">
        <v>69000</v>
      </c>
      <c r="F40" s="1079">
        <v>78100</v>
      </c>
      <c r="G40" s="1079">
        <v>78073</v>
      </c>
      <c r="H40" s="1080">
        <f t="shared" si="1"/>
        <v>0.99965428937259926</v>
      </c>
    </row>
    <row r="41" spans="1:8" ht="17.100000000000001" customHeight="1">
      <c r="A41" s="1057"/>
      <c r="B41" s="1069"/>
      <c r="C41" s="2334"/>
      <c r="D41" s="2335"/>
      <c r="E41" s="1081"/>
      <c r="F41" s="1081"/>
      <c r="G41" s="1081"/>
      <c r="H41" s="1082"/>
    </row>
    <row r="42" spans="1:8" ht="17.100000000000001" customHeight="1">
      <c r="A42" s="1057"/>
      <c r="B42" s="1069"/>
      <c r="C42" s="2336" t="s">
        <v>605</v>
      </c>
      <c r="D42" s="2337"/>
      <c r="E42" s="1083">
        <f t="shared" ref="E42:G42" si="5">E43</f>
        <v>60000</v>
      </c>
      <c r="F42" s="1083">
        <f t="shared" si="5"/>
        <v>60000</v>
      </c>
      <c r="G42" s="1083">
        <f t="shared" si="5"/>
        <v>59819</v>
      </c>
      <c r="H42" s="1084">
        <f t="shared" si="1"/>
        <v>0.99698333333333333</v>
      </c>
    </row>
    <row r="43" spans="1:8" ht="17.100000000000001" customHeight="1">
      <c r="A43" s="1057"/>
      <c r="B43" s="1069"/>
      <c r="C43" s="2272" t="s">
        <v>606</v>
      </c>
      <c r="D43" s="2272"/>
      <c r="E43" s="1085">
        <f t="shared" ref="E43:G43" si="6">SUM(E44:E44)</f>
        <v>60000</v>
      </c>
      <c r="F43" s="1085">
        <f t="shared" si="6"/>
        <v>60000</v>
      </c>
      <c r="G43" s="1085">
        <f t="shared" si="6"/>
        <v>59819</v>
      </c>
      <c r="H43" s="1086">
        <f t="shared" si="1"/>
        <v>0.99698333333333333</v>
      </c>
    </row>
    <row r="44" spans="1:8" ht="17.100000000000001" customHeight="1" thickBot="1">
      <c r="A44" s="1057"/>
      <c r="B44" s="1069"/>
      <c r="C44" s="1087" t="s">
        <v>144</v>
      </c>
      <c r="D44" s="1088" t="s">
        <v>607</v>
      </c>
      <c r="E44" s="1089">
        <v>60000</v>
      </c>
      <c r="F44" s="1089">
        <v>60000</v>
      </c>
      <c r="G44" s="1089">
        <v>59819</v>
      </c>
      <c r="H44" s="1090">
        <f t="shared" si="1"/>
        <v>0.99698333333333333</v>
      </c>
    </row>
    <row r="45" spans="1:8" ht="17.100000000000001" customHeight="1" thickBot="1">
      <c r="A45" s="1057"/>
      <c r="B45" s="1058" t="s">
        <v>253</v>
      </c>
      <c r="C45" s="1059"/>
      <c r="D45" s="1060" t="s">
        <v>254</v>
      </c>
      <c r="E45" s="1091">
        <f>E46</f>
        <v>539280</v>
      </c>
      <c r="F45" s="1091">
        <f t="shared" ref="F45:G45" si="7">F46</f>
        <v>1501961</v>
      </c>
      <c r="G45" s="1091">
        <f t="shared" si="7"/>
        <v>1466201</v>
      </c>
      <c r="H45" s="1092">
        <f t="shared" si="1"/>
        <v>0.9761911261344336</v>
      </c>
    </row>
    <row r="46" spans="1:8" ht="17.100000000000001" customHeight="1">
      <c r="A46" s="1057"/>
      <c r="B46" s="1093"/>
      <c r="C46" s="2112" t="s">
        <v>560</v>
      </c>
      <c r="D46" s="2112"/>
      <c r="E46" s="1063">
        <f>E47+E68</f>
        <v>539280</v>
      </c>
      <c r="F46" s="1063">
        <f>F47+F68</f>
        <v>1501961</v>
      </c>
      <c r="G46" s="1063">
        <f>G47+G68</f>
        <v>1466201</v>
      </c>
      <c r="H46" s="1064">
        <f t="shared" si="1"/>
        <v>0.9761911261344336</v>
      </c>
    </row>
    <row r="47" spans="1:8" ht="17.100000000000001" customHeight="1">
      <c r="A47" s="1057"/>
      <c r="B47" s="1069"/>
      <c r="C47" s="2276" t="s">
        <v>561</v>
      </c>
      <c r="D47" s="2276"/>
      <c r="E47" s="1085">
        <f>E48+E55</f>
        <v>539280</v>
      </c>
      <c r="F47" s="1085">
        <f>F48+F55</f>
        <v>1501208</v>
      </c>
      <c r="G47" s="1085">
        <f t="shared" ref="G47" si="8">G48+G55</f>
        <v>1465449</v>
      </c>
      <c r="H47" s="1086">
        <f t="shared" si="1"/>
        <v>0.97617984982760553</v>
      </c>
    </row>
    <row r="48" spans="1:8" ht="17.100000000000001" customHeight="1">
      <c r="A48" s="1057"/>
      <c r="B48" s="1069"/>
      <c r="C48" s="2277" t="s">
        <v>562</v>
      </c>
      <c r="D48" s="2277"/>
      <c r="E48" s="1094">
        <f t="shared" ref="E48:G48" si="9">SUM(E49:E53)</f>
        <v>388380</v>
      </c>
      <c r="F48" s="1094">
        <f t="shared" si="9"/>
        <v>1236122</v>
      </c>
      <c r="G48" s="1094">
        <f t="shared" si="9"/>
        <v>1227652</v>
      </c>
      <c r="H48" s="1095">
        <f t="shared" si="1"/>
        <v>0.99314792552838638</v>
      </c>
    </row>
    <row r="49" spans="1:8" ht="17.100000000000001" customHeight="1">
      <c r="A49" s="1057"/>
      <c r="B49" s="1069"/>
      <c r="C49" s="1096" t="s">
        <v>145</v>
      </c>
      <c r="D49" s="1097" t="s">
        <v>563</v>
      </c>
      <c r="E49" s="1085">
        <v>63000</v>
      </c>
      <c r="F49" s="1085">
        <v>0</v>
      </c>
      <c r="G49" s="1085">
        <v>0</v>
      </c>
      <c r="H49" s="1095"/>
    </row>
    <row r="50" spans="1:8" ht="17.100000000000001" customHeight="1">
      <c r="A50" s="1057"/>
      <c r="B50" s="1069"/>
      <c r="C50" s="1096" t="s">
        <v>564</v>
      </c>
      <c r="D50" s="1097" t="s">
        <v>565</v>
      </c>
      <c r="E50" s="1085">
        <v>84100</v>
      </c>
      <c r="F50" s="1085">
        <v>592680</v>
      </c>
      <c r="G50" s="1085">
        <v>591351</v>
      </c>
      <c r="H50" s="1086">
        <f t="shared" si="1"/>
        <v>0.99775764324762095</v>
      </c>
    </row>
    <row r="51" spans="1:8" ht="17.100000000000001" customHeight="1">
      <c r="A51" s="1057"/>
      <c r="B51" s="1069"/>
      <c r="C51" s="1096" t="s">
        <v>146</v>
      </c>
      <c r="D51" s="1097" t="s">
        <v>566</v>
      </c>
      <c r="E51" s="1085">
        <v>55320</v>
      </c>
      <c r="F51" s="1085">
        <v>111760</v>
      </c>
      <c r="G51" s="1085">
        <v>111530</v>
      </c>
      <c r="H51" s="1086">
        <f t="shared" si="1"/>
        <v>0.99794201861130993</v>
      </c>
    </row>
    <row r="52" spans="1:8" ht="17.100000000000001" customHeight="1">
      <c r="A52" s="1057"/>
      <c r="B52" s="1069"/>
      <c r="C52" s="1096" t="s">
        <v>147</v>
      </c>
      <c r="D52" s="1097" t="s">
        <v>567</v>
      </c>
      <c r="E52" s="1085">
        <v>5960</v>
      </c>
      <c r="F52" s="1085">
        <v>8612</v>
      </c>
      <c r="G52" s="1085">
        <v>8558</v>
      </c>
      <c r="H52" s="1086">
        <f t="shared" si="1"/>
        <v>0.99372967951695312</v>
      </c>
    </row>
    <row r="53" spans="1:8" ht="17.100000000000001" customHeight="1">
      <c r="A53" s="1057"/>
      <c r="B53" s="1069"/>
      <c r="C53" s="1096" t="s">
        <v>568</v>
      </c>
      <c r="D53" s="1097" t="s">
        <v>569</v>
      </c>
      <c r="E53" s="1085">
        <v>180000</v>
      </c>
      <c r="F53" s="1085">
        <v>523070</v>
      </c>
      <c r="G53" s="1085">
        <v>516213</v>
      </c>
      <c r="H53" s="1086">
        <f t="shared" si="1"/>
        <v>0.98689085590838699</v>
      </c>
    </row>
    <row r="54" spans="1:8" ht="17.100000000000001" customHeight="1">
      <c r="A54" s="1057"/>
      <c r="B54" s="1069"/>
      <c r="C54" s="1098"/>
      <c r="D54" s="1098"/>
      <c r="E54" s="1099"/>
      <c r="F54" s="1099"/>
      <c r="G54" s="1099"/>
      <c r="H54" s="1100"/>
    </row>
    <row r="55" spans="1:8" ht="17.100000000000001" customHeight="1">
      <c r="A55" s="1057"/>
      <c r="B55" s="1069"/>
      <c r="C55" s="2278" t="s">
        <v>570</v>
      </c>
      <c r="D55" s="2278"/>
      <c r="E55" s="1094">
        <f>SUM(E56:E66)</f>
        <v>150900</v>
      </c>
      <c r="F55" s="1094">
        <f>SUM(F56:F66)</f>
        <v>265086</v>
      </c>
      <c r="G55" s="1094">
        <f>SUM(G56:G66)</f>
        <v>237797</v>
      </c>
      <c r="H55" s="1095">
        <f t="shared" si="1"/>
        <v>0.89705604973480302</v>
      </c>
    </row>
    <row r="56" spans="1:8" ht="17.100000000000001" customHeight="1">
      <c r="A56" s="1057"/>
      <c r="B56" s="1069"/>
      <c r="C56" s="1096" t="s">
        <v>143</v>
      </c>
      <c r="D56" s="1097" t="s">
        <v>573</v>
      </c>
      <c r="E56" s="1085">
        <v>20000</v>
      </c>
      <c r="F56" s="1085">
        <v>5900</v>
      </c>
      <c r="G56" s="1085">
        <v>5824</v>
      </c>
      <c r="H56" s="1086">
        <f t="shared" si="1"/>
        <v>0.98711864406779659</v>
      </c>
    </row>
    <row r="57" spans="1:8" ht="17.100000000000001" customHeight="1">
      <c r="A57" s="1057"/>
      <c r="B57" s="1069"/>
      <c r="C57" s="1096" t="s">
        <v>576</v>
      </c>
      <c r="D57" s="1097" t="s">
        <v>577</v>
      </c>
      <c r="E57" s="1085">
        <v>22100</v>
      </c>
      <c r="F57" s="1085">
        <v>55000</v>
      </c>
      <c r="G57" s="1085">
        <v>43311</v>
      </c>
      <c r="H57" s="1086">
        <f t="shared" si="1"/>
        <v>0.78747272727272732</v>
      </c>
    </row>
    <row r="58" spans="1:8" ht="17.100000000000001" customHeight="1">
      <c r="A58" s="1057"/>
      <c r="B58" s="1069"/>
      <c r="C58" s="1096" t="s">
        <v>24</v>
      </c>
      <c r="D58" s="1097" t="s">
        <v>578</v>
      </c>
      <c r="E58" s="1085">
        <v>5000</v>
      </c>
      <c r="F58" s="1085">
        <v>11300</v>
      </c>
      <c r="G58" s="1085">
        <v>9089</v>
      </c>
      <c r="H58" s="1086">
        <f t="shared" si="1"/>
        <v>0.80433628318584072</v>
      </c>
    </row>
    <row r="59" spans="1:8" ht="17.100000000000001" customHeight="1">
      <c r="A59" s="1057"/>
      <c r="B59" s="1069"/>
      <c r="C59" s="1096" t="s">
        <v>25</v>
      </c>
      <c r="D59" s="1097" t="s">
        <v>581</v>
      </c>
      <c r="E59" s="1085">
        <v>95000</v>
      </c>
      <c r="F59" s="1085">
        <v>106364</v>
      </c>
      <c r="G59" s="1085">
        <v>95819</v>
      </c>
      <c r="H59" s="1086">
        <f t="shared" si="1"/>
        <v>0.90085931330149294</v>
      </c>
    </row>
    <row r="60" spans="1:8" ht="16.5" customHeight="1">
      <c r="A60" s="1057"/>
      <c r="B60" s="1069"/>
      <c r="C60" s="1096" t="s">
        <v>582</v>
      </c>
      <c r="D60" s="1097" t="s">
        <v>583</v>
      </c>
      <c r="E60" s="1085">
        <v>5800</v>
      </c>
      <c r="F60" s="1085">
        <v>15866</v>
      </c>
      <c r="G60" s="1085">
        <v>15809</v>
      </c>
      <c r="H60" s="1086">
        <f t="shared" si="1"/>
        <v>0.9964074120761377</v>
      </c>
    </row>
    <row r="61" spans="1:8" ht="16.5" customHeight="1">
      <c r="A61" s="1057"/>
      <c r="B61" s="1069"/>
      <c r="C61" s="1096" t="s">
        <v>585</v>
      </c>
      <c r="D61" s="1097" t="s">
        <v>586</v>
      </c>
      <c r="E61" s="1085">
        <v>0</v>
      </c>
      <c r="F61" s="1085">
        <v>566</v>
      </c>
      <c r="G61" s="1085">
        <v>566</v>
      </c>
      <c r="H61" s="1086">
        <f t="shared" si="1"/>
        <v>1</v>
      </c>
    </row>
    <row r="62" spans="1:8" ht="17.100000000000001" customHeight="1">
      <c r="A62" s="1057"/>
      <c r="B62" s="1069"/>
      <c r="C62" s="1096" t="s">
        <v>587</v>
      </c>
      <c r="D62" s="1097" t="s">
        <v>588</v>
      </c>
      <c r="E62" s="1085">
        <v>3000</v>
      </c>
      <c r="F62" s="1085">
        <v>0</v>
      </c>
      <c r="G62" s="1085">
        <v>0</v>
      </c>
      <c r="H62" s="1086"/>
    </row>
    <row r="63" spans="1:8" ht="17.100000000000001" customHeight="1">
      <c r="A63" s="1057"/>
      <c r="B63" s="1069"/>
      <c r="C63" s="1101" t="s">
        <v>589</v>
      </c>
      <c r="D63" s="1102" t="s">
        <v>590</v>
      </c>
      <c r="E63" s="1103">
        <v>0</v>
      </c>
      <c r="F63" s="1103">
        <v>2088</v>
      </c>
      <c r="G63" s="1103">
        <v>1818</v>
      </c>
      <c r="H63" s="1104">
        <f t="shared" si="1"/>
        <v>0.87068965517241381</v>
      </c>
    </row>
    <row r="64" spans="1:8" ht="17.100000000000001" customHeight="1">
      <c r="A64" s="1057"/>
      <c r="B64" s="1069"/>
      <c r="C64" s="1101" t="s">
        <v>593</v>
      </c>
      <c r="D64" s="1102" t="s">
        <v>594</v>
      </c>
      <c r="E64" s="1103">
        <v>0</v>
      </c>
      <c r="F64" s="1103">
        <v>14200</v>
      </c>
      <c r="G64" s="1103">
        <v>14147</v>
      </c>
      <c r="H64" s="1104">
        <f t="shared" si="1"/>
        <v>0.99626760563380279</v>
      </c>
    </row>
    <row r="65" spans="1:8" ht="17.100000000000001" customHeight="1">
      <c r="A65" s="1057"/>
      <c r="B65" s="1069"/>
      <c r="C65" s="1105" t="s">
        <v>597</v>
      </c>
      <c r="D65" s="1106" t="s">
        <v>598</v>
      </c>
      <c r="E65" s="1085">
        <v>0</v>
      </c>
      <c r="F65" s="1085">
        <v>17014</v>
      </c>
      <c r="G65" s="1085">
        <v>17007</v>
      </c>
      <c r="H65" s="1086">
        <f t="shared" si="1"/>
        <v>0.99958857411543434</v>
      </c>
    </row>
    <row r="66" spans="1:8" ht="17.100000000000001" customHeight="1">
      <c r="A66" s="1057"/>
      <c r="B66" s="1069"/>
      <c r="C66" s="1101" t="s">
        <v>608</v>
      </c>
      <c r="D66" s="1102" t="s">
        <v>609</v>
      </c>
      <c r="E66" s="1103">
        <v>0</v>
      </c>
      <c r="F66" s="1103">
        <v>36788</v>
      </c>
      <c r="G66" s="1103">
        <v>34407</v>
      </c>
      <c r="H66" s="1104">
        <f t="shared" si="1"/>
        <v>0.93527780798086335</v>
      </c>
    </row>
    <row r="67" spans="1:8" ht="17.100000000000001" customHeight="1">
      <c r="A67" s="1057"/>
      <c r="B67" s="1069"/>
      <c r="C67" s="1107"/>
      <c r="D67" s="1108"/>
      <c r="E67" s="1081"/>
      <c r="F67" s="1081"/>
      <c r="G67" s="1081"/>
      <c r="H67" s="1082"/>
    </row>
    <row r="68" spans="1:8" ht="17.100000000000001" customHeight="1">
      <c r="A68" s="1057"/>
      <c r="B68" s="1069"/>
      <c r="C68" s="2330" t="s">
        <v>602</v>
      </c>
      <c r="D68" s="2330"/>
      <c r="E68" s="1109">
        <f t="shared" ref="E68:G68" si="10">E69</f>
        <v>0</v>
      </c>
      <c r="F68" s="1109">
        <f t="shared" si="10"/>
        <v>753</v>
      </c>
      <c r="G68" s="1109">
        <f t="shared" si="10"/>
        <v>752</v>
      </c>
      <c r="H68" s="1110">
        <f t="shared" si="1"/>
        <v>0.99867197875166003</v>
      </c>
    </row>
    <row r="69" spans="1:8" ht="17.100000000000001" customHeight="1" thickBot="1">
      <c r="A69" s="1057"/>
      <c r="B69" s="1069"/>
      <c r="C69" s="1111" t="s">
        <v>603</v>
      </c>
      <c r="D69" s="1112" t="s">
        <v>604</v>
      </c>
      <c r="E69" s="1085">
        <v>0</v>
      </c>
      <c r="F69" s="1085">
        <v>753</v>
      </c>
      <c r="G69" s="1085">
        <v>752</v>
      </c>
      <c r="H69" s="1086">
        <f t="shared" si="1"/>
        <v>0.99867197875166003</v>
      </c>
    </row>
    <row r="70" spans="1:8" ht="17.100000000000001" customHeight="1" thickBot="1">
      <c r="A70" s="1057"/>
      <c r="B70" s="1058" t="s">
        <v>259</v>
      </c>
      <c r="C70" s="1059"/>
      <c r="D70" s="1060" t="s">
        <v>260</v>
      </c>
      <c r="E70" s="1113">
        <f>E71+E93</f>
        <v>7368000</v>
      </c>
      <c r="F70" s="1113">
        <f t="shared" ref="F70:G70" si="11">F71+F93</f>
        <v>115309</v>
      </c>
      <c r="G70" s="1113">
        <f t="shared" si="11"/>
        <v>107355</v>
      </c>
      <c r="H70" s="1114">
        <f t="shared" si="1"/>
        <v>0.93102012852422622</v>
      </c>
    </row>
    <row r="71" spans="1:8" ht="17.100000000000001" customHeight="1">
      <c r="A71" s="1057"/>
      <c r="B71" s="2258"/>
      <c r="C71" s="2112" t="s">
        <v>560</v>
      </c>
      <c r="D71" s="2112"/>
      <c r="E71" s="1063">
        <f>E72+E90</f>
        <v>4350000</v>
      </c>
      <c r="F71" s="1063">
        <f t="shared" ref="F71:G71" si="12">F72+F90</f>
        <v>94126</v>
      </c>
      <c r="G71" s="1063">
        <f t="shared" si="12"/>
        <v>94125</v>
      </c>
      <c r="H71" s="1064">
        <f t="shared" si="1"/>
        <v>0.99998937594288506</v>
      </c>
    </row>
    <row r="72" spans="1:8" ht="17.100000000000001" customHeight="1">
      <c r="A72" s="1057"/>
      <c r="B72" s="2258"/>
      <c r="C72" s="2276" t="s">
        <v>561</v>
      </c>
      <c r="D72" s="2276"/>
      <c r="E72" s="1079">
        <f t="shared" ref="E72:G72" si="13">E73+E79</f>
        <v>4330000</v>
      </c>
      <c r="F72" s="1079">
        <f t="shared" si="13"/>
        <v>94126</v>
      </c>
      <c r="G72" s="1079">
        <f t="shared" si="13"/>
        <v>94125</v>
      </c>
      <c r="H72" s="1080">
        <f t="shared" si="1"/>
        <v>0.99998937594288506</v>
      </c>
    </row>
    <row r="73" spans="1:8" ht="17.100000000000001" customHeight="1">
      <c r="A73" s="1057"/>
      <c r="B73" s="2258"/>
      <c r="C73" s="2277" t="s">
        <v>562</v>
      </c>
      <c r="D73" s="2277"/>
      <c r="E73" s="1115">
        <f t="shared" ref="E73:G73" si="14">E74+E76+E77+E75</f>
        <v>1380341</v>
      </c>
      <c r="F73" s="1115">
        <f t="shared" si="14"/>
        <v>94126</v>
      </c>
      <c r="G73" s="1115">
        <f t="shared" si="14"/>
        <v>94125</v>
      </c>
      <c r="H73" s="1116">
        <f t="shared" ref="H73:H137" si="15">G73/F73</f>
        <v>0.99998937594288506</v>
      </c>
    </row>
    <row r="74" spans="1:8" ht="17.100000000000001" customHeight="1">
      <c r="A74" s="1057"/>
      <c r="B74" s="2258"/>
      <c r="C74" s="1096" t="s">
        <v>145</v>
      </c>
      <c r="D74" s="1097" t="s">
        <v>563</v>
      </c>
      <c r="E74" s="1079">
        <v>1080106</v>
      </c>
      <c r="F74" s="1079">
        <v>0</v>
      </c>
      <c r="G74" s="1079">
        <v>0</v>
      </c>
      <c r="H74" s="1080"/>
    </row>
    <row r="75" spans="1:8" ht="17.100000000000001" customHeight="1">
      <c r="A75" s="1057"/>
      <c r="B75" s="2258"/>
      <c r="C75" s="1096" t="s">
        <v>564</v>
      </c>
      <c r="D75" s="1097" t="s">
        <v>565</v>
      </c>
      <c r="E75" s="1079">
        <v>82280</v>
      </c>
      <c r="F75" s="1079">
        <v>79084</v>
      </c>
      <c r="G75" s="1079">
        <v>79084</v>
      </c>
      <c r="H75" s="1080">
        <f t="shared" si="15"/>
        <v>1</v>
      </c>
    </row>
    <row r="76" spans="1:8" ht="17.100000000000001" customHeight="1">
      <c r="A76" s="1057"/>
      <c r="B76" s="2258"/>
      <c r="C76" s="1096" t="s">
        <v>146</v>
      </c>
      <c r="D76" s="1097" t="s">
        <v>566</v>
      </c>
      <c r="E76" s="1079">
        <v>196149</v>
      </c>
      <c r="F76" s="1079">
        <v>13595</v>
      </c>
      <c r="G76" s="1079">
        <v>13594</v>
      </c>
      <c r="H76" s="1080">
        <f t="shared" si="15"/>
        <v>0.99992644354542115</v>
      </c>
    </row>
    <row r="77" spans="1:8" ht="17.100000000000001" customHeight="1">
      <c r="A77" s="1057"/>
      <c r="B77" s="2258"/>
      <c r="C77" s="1096" t="s">
        <v>147</v>
      </c>
      <c r="D77" s="1097" t="s">
        <v>567</v>
      </c>
      <c r="E77" s="1079">
        <v>21806</v>
      </c>
      <c r="F77" s="1079">
        <v>1447</v>
      </c>
      <c r="G77" s="1079">
        <v>1447</v>
      </c>
      <c r="H77" s="1080">
        <f t="shared" si="15"/>
        <v>1</v>
      </c>
    </row>
    <row r="78" spans="1:8" ht="17.100000000000001" customHeight="1">
      <c r="A78" s="1057"/>
      <c r="B78" s="2258"/>
      <c r="C78" s="1098"/>
      <c r="D78" s="1117"/>
      <c r="E78" s="1118"/>
      <c r="F78" s="1118"/>
      <c r="G78" s="1118"/>
      <c r="H78" s="1119"/>
    </row>
    <row r="79" spans="1:8" ht="17.100000000000001" customHeight="1">
      <c r="A79" s="1057"/>
      <c r="B79" s="2258"/>
      <c r="C79" s="2287" t="s">
        <v>570</v>
      </c>
      <c r="D79" s="2278"/>
      <c r="E79" s="1115">
        <f>SUM(E80:E88)</f>
        <v>2949659</v>
      </c>
      <c r="F79" s="1115">
        <f t="shared" ref="F79:G79" si="16">SUM(F80:F88)</f>
        <v>0</v>
      </c>
      <c r="G79" s="1115">
        <f t="shared" si="16"/>
        <v>0</v>
      </c>
      <c r="H79" s="1116"/>
    </row>
    <row r="80" spans="1:8" ht="17.100000000000001" customHeight="1">
      <c r="A80" s="1057"/>
      <c r="B80" s="2258"/>
      <c r="C80" s="1120" t="s">
        <v>143</v>
      </c>
      <c r="D80" s="1097" t="s">
        <v>573</v>
      </c>
      <c r="E80" s="1079">
        <v>20000</v>
      </c>
      <c r="F80" s="1079">
        <v>0</v>
      </c>
      <c r="G80" s="1079">
        <v>0</v>
      </c>
      <c r="H80" s="1080"/>
    </row>
    <row r="81" spans="1:8" ht="17.100000000000001" customHeight="1">
      <c r="A81" s="1057"/>
      <c r="B81" s="2258"/>
      <c r="C81" s="1096" t="s">
        <v>576</v>
      </c>
      <c r="D81" s="1097" t="s">
        <v>577</v>
      </c>
      <c r="E81" s="1079">
        <v>500000</v>
      </c>
      <c r="F81" s="1079">
        <v>0</v>
      </c>
      <c r="G81" s="1079">
        <v>0</v>
      </c>
      <c r="H81" s="1080"/>
    </row>
    <row r="82" spans="1:8" ht="17.100000000000001" customHeight="1">
      <c r="A82" s="1057"/>
      <c r="B82" s="2258"/>
      <c r="C82" s="1096" t="s">
        <v>24</v>
      </c>
      <c r="D82" s="1097" t="s">
        <v>578</v>
      </c>
      <c r="E82" s="1079">
        <v>2374050</v>
      </c>
      <c r="F82" s="1079">
        <v>0</v>
      </c>
      <c r="G82" s="1079">
        <v>0</v>
      </c>
      <c r="H82" s="1080"/>
    </row>
    <row r="83" spans="1:8" ht="17.100000000000001" customHeight="1">
      <c r="A83" s="1057"/>
      <c r="B83" s="2258"/>
      <c r="C83" s="1096" t="s">
        <v>579</v>
      </c>
      <c r="D83" s="1097" t="s">
        <v>580</v>
      </c>
      <c r="E83" s="1079">
        <v>2500</v>
      </c>
      <c r="F83" s="1079">
        <v>0</v>
      </c>
      <c r="G83" s="1079">
        <v>0</v>
      </c>
      <c r="H83" s="1080"/>
    </row>
    <row r="84" spans="1:8" ht="17.100000000000001" customHeight="1">
      <c r="A84" s="1057"/>
      <c r="B84" s="2258"/>
      <c r="C84" s="1096" t="s">
        <v>25</v>
      </c>
      <c r="D84" s="1097" t="s">
        <v>581</v>
      </c>
      <c r="E84" s="1079">
        <v>5000</v>
      </c>
      <c r="F84" s="1079">
        <v>0</v>
      </c>
      <c r="G84" s="1079">
        <v>0</v>
      </c>
      <c r="H84" s="1080"/>
    </row>
    <row r="85" spans="1:8" ht="16.5" customHeight="1">
      <c r="A85" s="1057"/>
      <c r="B85" s="2258"/>
      <c r="C85" s="1096" t="s">
        <v>582</v>
      </c>
      <c r="D85" s="1097" t="s">
        <v>583</v>
      </c>
      <c r="E85" s="1079">
        <v>2500</v>
      </c>
      <c r="F85" s="1079">
        <v>0</v>
      </c>
      <c r="G85" s="1079">
        <v>0</v>
      </c>
      <c r="H85" s="1080"/>
    </row>
    <row r="86" spans="1:8" ht="17.100000000000001" customHeight="1">
      <c r="A86" s="1057"/>
      <c r="B86" s="2258"/>
      <c r="C86" s="1096" t="s">
        <v>591</v>
      </c>
      <c r="D86" s="1097" t="s">
        <v>592</v>
      </c>
      <c r="E86" s="1079">
        <v>40609</v>
      </c>
      <c r="F86" s="1079">
        <v>0</v>
      </c>
      <c r="G86" s="1079">
        <v>0</v>
      </c>
      <c r="H86" s="1080"/>
    </row>
    <row r="87" spans="1:8" ht="17.100000000000001" customHeight="1">
      <c r="A87" s="1057"/>
      <c r="B87" s="2258"/>
      <c r="C87" s="1096" t="s">
        <v>593</v>
      </c>
      <c r="D87" s="1097" t="s">
        <v>594</v>
      </c>
      <c r="E87" s="1079">
        <v>2000</v>
      </c>
      <c r="F87" s="1079">
        <v>0</v>
      </c>
      <c r="G87" s="1079">
        <v>0</v>
      </c>
      <c r="H87" s="1080"/>
    </row>
    <row r="88" spans="1:8" ht="17.100000000000001" customHeight="1">
      <c r="A88" s="1057"/>
      <c r="B88" s="2258"/>
      <c r="C88" s="1087" t="s">
        <v>610</v>
      </c>
      <c r="D88" s="1088" t="s">
        <v>611</v>
      </c>
      <c r="E88" s="1079">
        <v>3000</v>
      </c>
      <c r="F88" s="1079">
        <v>0</v>
      </c>
      <c r="G88" s="1079">
        <v>0</v>
      </c>
      <c r="H88" s="1080"/>
    </row>
    <row r="89" spans="1:8" ht="17.100000000000001" customHeight="1">
      <c r="A89" s="1057"/>
      <c r="B89" s="2258"/>
      <c r="C89" s="2328"/>
      <c r="D89" s="2329"/>
      <c r="E89" s="1121"/>
      <c r="F89" s="1121"/>
      <c r="G89" s="1121"/>
      <c r="H89" s="1122"/>
    </row>
    <row r="90" spans="1:8" ht="17.100000000000001" customHeight="1">
      <c r="A90" s="1057"/>
      <c r="B90" s="2258"/>
      <c r="C90" s="2171" t="s">
        <v>602</v>
      </c>
      <c r="D90" s="2171"/>
      <c r="E90" s="1123">
        <f t="shared" ref="E90:G90" si="17">E91</f>
        <v>20000</v>
      </c>
      <c r="F90" s="1123">
        <f t="shared" si="17"/>
        <v>0</v>
      </c>
      <c r="G90" s="1123">
        <f t="shared" si="17"/>
        <v>0</v>
      </c>
      <c r="H90" s="1124"/>
    </row>
    <row r="91" spans="1:8" ht="17.100000000000001" customHeight="1">
      <c r="A91" s="1057"/>
      <c r="B91" s="2258"/>
      <c r="C91" s="1125" t="s">
        <v>603</v>
      </c>
      <c r="D91" s="1126" t="s">
        <v>604</v>
      </c>
      <c r="E91" s="1127">
        <v>20000</v>
      </c>
      <c r="F91" s="1127">
        <v>0</v>
      </c>
      <c r="G91" s="1127">
        <v>0</v>
      </c>
      <c r="H91" s="1128"/>
    </row>
    <row r="92" spans="1:8" ht="17.100000000000001" customHeight="1">
      <c r="A92" s="1057"/>
      <c r="B92" s="2258"/>
      <c r="C92" s="1129"/>
      <c r="D92" s="1129"/>
      <c r="E92" s="1130"/>
      <c r="F92" s="1130"/>
      <c r="G92" s="1130"/>
      <c r="H92" s="1131"/>
    </row>
    <row r="93" spans="1:8" ht="17.100000000000001" customHeight="1">
      <c r="A93" s="1057"/>
      <c r="B93" s="2258"/>
      <c r="C93" s="2148" t="s">
        <v>605</v>
      </c>
      <c r="D93" s="2148"/>
      <c r="E93" s="1063">
        <f t="shared" ref="E93:G93" si="18">E94</f>
        <v>3018000</v>
      </c>
      <c r="F93" s="1063">
        <f t="shared" si="18"/>
        <v>21183</v>
      </c>
      <c r="G93" s="1063">
        <f t="shared" si="18"/>
        <v>13230</v>
      </c>
      <c r="H93" s="1064">
        <f t="shared" si="15"/>
        <v>0.62455742812632775</v>
      </c>
    </row>
    <row r="94" spans="1:8" ht="17.100000000000001" customHeight="1">
      <c r="A94" s="1057"/>
      <c r="B94" s="2258"/>
      <c r="C94" s="2272" t="s">
        <v>606</v>
      </c>
      <c r="D94" s="2272"/>
      <c r="E94" s="1079">
        <f>SUM(E95:E97)</f>
        <v>3018000</v>
      </c>
      <c r="F94" s="1079">
        <f t="shared" ref="F94:G94" si="19">SUM(F95:F97)</f>
        <v>21183</v>
      </c>
      <c r="G94" s="1079">
        <f t="shared" si="19"/>
        <v>13230</v>
      </c>
      <c r="H94" s="1080">
        <f t="shared" si="15"/>
        <v>0.62455742812632775</v>
      </c>
    </row>
    <row r="95" spans="1:8" ht="20.25" customHeight="1">
      <c r="A95" s="1057"/>
      <c r="B95" s="2258"/>
      <c r="C95" s="1132" t="s">
        <v>26</v>
      </c>
      <c r="D95" s="1133" t="s">
        <v>607</v>
      </c>
      <c r="E95" s="1079">
        <v>3018000</v>
      </c>
      <c r="F95" s="1079">
        <v>0</v>
      </c>
      <c r="G95" s="1079">
        <v>0</v>
      </c>
      <c r="H95" s="1080"/>
    </row>
    <row r="96" spans="1:8" ht="53.25" customHeight="1">
      <c r="A96" s="1057"/>
      <c r="B96" s="2258"/>
      <c r="C96" s="1134" t="s">
        <v>543</v>
      </c>
      <c r="D96" s="1135" t="s">
        <v>612</v>
      </c>
      <c r="E96" s="1079">
        <v>0</v>
      </c>
      <c r="F96" s="1079">
        <v>21167</v>
      </c>
      <c r="G96" s="1079">
        <v>13214</v>
      </c>
      <c r="H96" s="1080">
        <f t="shared" si="15"/>
        <v>0.62427363348608689</v>
      </c>
    </row>
    <row r="97" spans="1:8" ht="18.75" customHeight="1">
      <c r="A97" s="1057"/>
      <c r="B97" s="2258"/>
      <c r="C97" s="1134" t="s">
        <v>349</v>
      </c>
      <c r="D97" s="1135" t="s">
        <v>613</v>
      </c>
      <c r="E97" s="1079">
        <v>0</v>
      </c>
      <c r="F97" s="1079">
        <v>16</v>
      </c>
      <c r="G97" s="1079">
        <v>16</v>
      </c>
      <c r="H97" s="1080">
        <f t="shared" si="15"/>
        <v>1</v>
      </c>
    </row>
    <row r="98" spans="1:8" ht="17.100000000000001" customHeight="1">
      <c r="A98" s="1057"/>
      <c r="B98" s="2259"/>
      <c r="C98" s="1098"/>
      <c r="D98" s="1117"/>
      <c r="E98" s="1118"/>
      <c r="F98" s="1118"/>
      <c r="G98" s="1118"/>
      <c r="H98" s="1119"/>
    </row>
    <row r="99" spans="1:8" ht="17.100000000000001" customHeight="1">
      <c r="A99" s="1057"/>
      <c r="B99" s="2259"/>
      <c r="C99" s="2278" t="s">
        <v>614</v>
      </c>
      <c r="D99" s="2286"/>
      <c r="E99" s="1079">
        <f>E100</f>
        <v>291000</v>
      </c>
      <c r="F99" s="1079">
        <f t="shared" ref="F99:G99" si="20">F100</f>
        <v>0</v>
      </c>
      <c r="G99" s="1079">
        <f t="shared" si="20"/>
        <v>0</v>
      </c>
      <c r="H99" s="1080"/>
    </row>
    <row r="100" spans="1:8" ht="17.100000000000001" customHeight="1" thickBot="1">
      <c r="A100" s="1057"/>
      <c r="B100" s="2259"/>
      <c r="C100" s="1136" t="s">
        <v>26</v>
      </c>
      <c r="D100" s="1137" t="s">
        <v>607</v>
      </c>
      <c r="E100" s="1079">
        <v>291000</v>
      </c>
      <c r="F100" s="1079">
        <v>0</v>
      </c>
      <c r="G100" s="1079">
        <v>0</v>
      </c>
      <c r="H100" s="1080"/>
    </row>
    <row r="101" spans="1:8" ht="17.100000000000001" customHeight="1" thickBot="1">
      <c r="A101" s="1057"/>
      <c r="B101" s="1058" t="s">
        <v>267</v>
      </c>
      <c r="C101" s="1138"/>
      <c r="D101" s="1139" t="s">
        <v>615</v>
      </c>
      <c r="E101" s="1140">
        <f t="shared" ref="E101:G102" si="21">E102</f>
        <v>4915000</v>
      </c>
      <c r="F101" s="1140">
        <f t="shared" si="21"/>
        <v>4914349</v>
      </c>
      <c r="G101" s="1140">
        <f t="shared" si="21"/>
        <v>4785689</v>
      </c>
      <c r="H101" s="1141">
        <f t="shared" si="15"/>
        <v>0.97381952319625653</v>
      </c>
    </row>
    <row r="102" spans="1:8" ht="17.100000000000001" customHeight="1">
      <c r="A102" s="1057"/>
      <c r="B102" s="2309"/>
      <c r="C102" s="2112" t="s">
        <v>560</v>
      </c>
      <c r="D102" s="2112"/>
      <c r="E102" s="1063">
        <f t="shared" si="21"/>
        <v>4915000</v>
      </c>
      <c r="F102" s="1063">
        <f t="shared" si="21"/>
        <v>4914349</v>
      </c>
      <c r="G102" s="1063">
        <f t="shared" si="21"/>
        <v>4785689</v>
      </c>
      <c r="H102" s="1064">
        <f t="shared" si="15"/>
        <v>0.97381952319625653</v>
      </c>
    </row>
    <row r="103" spans="1:8" ht="17.100000000000001" customHeight="1">
      <c r="A103" s="1057"/>
      <c r="B103" s="2309"/>
      <c r="C103" s="2276" t="s">
        <v>616</v>
      </c>
      <c r="D103" s="2276"/>
      <c r="E103" s="1079">
        <f>SUM(E104:E133)</f>
        <v>4915000</v>
      </c>
      <c r="F103" s="1079">
        <f t="shared" ref="F103:G103" si="22">SUM(F104:F133)</f>
        <v>4914349</v>
      </c>
      <c r="G103" s="1079">
        <f t="shared" si="22"/>
        <v>4785689</v>
      </c>
      <c r="H103" s="1080">
        <f t="shared" si="15"/>
        <v>0.97381952319625653</v>
      </c>
    </row>
    <row r="104" spans="1:8" ht="51.75" customHeight="1">
      <c r="A104" s="1057"/>
      <c r="B104" s="2309"/>
      <c r="C104" s="1142" t="s">
        <v>617</v>
      </c>
      <c r="D104" s="1143" t="s">
        <v>618</v>
      </c>
      <c r="E104" s="1079">
        <v>0</v>
      </c>
      <c r="F104" s="1079">
        <v>129582</v>
      </c>
      <c r="G104" s="1079">
        <v>102366</v>
      </c>
      <c r="H104" s="1080">
        <f t="shared" si="15"/>
        <v>0.7899708292818447</v>
      </c>
    </row>
    <row r="105" spans="1:8" ht="54" customHeight="1">
      <c r="A105" s="1057"/>
      <c r="B105" s="2309"/>
      <c r="C105" s="1142" t="s">
        <v>508</v>
      </c>
      <c r="D105" s="1143" t="s">
        <v>618</v>
      </c>
      <c r="E105" s="1079">
        <v>0</v>
      </c>
      <c r="F105" s="1079">
        <v>74068</v>
      </c>
      <c r="G105" s="1079">
        <v>58511</v>
      </c>
      <c r="H105" s="1080">
        <f t="shared" si="15"/>
        <v>0.78996327698871305</v>
      </c>
    </row>
    <row r="106" spans="1:8" ht="53.25" customHeight="1">
      <c r="A106" s="1057"/>
      <c r="B106" s="2309"/>
      <c r="C106" s="1142" t="s">
        <v>384</v>
      </c>
      <c r="D106" s="1143" t="s">
        <v>619</v>
      </c>
      <c r="E106" s="1079">
        <v>0</v>
      </c>
      <c r="F106" s="1079">
        <v>115393</v>
      </c>
      <c r="G106" s="1079">
        <v>108954</v>
      </c>
      <c r="H106" s="1080">
        <f t="shared" si="15"/>
        <v>0.94419938817779236</v>
      </c>
    </row>
    <row r="107" spans="1:8" ht="51.75" customHeight="1">
      <c r="A107" s="1057"/>
      <c r="B107" s="2309"/>
      <c r="C107" s="1142" t="s">
        <v>359</v>
      </c>
      <c r="D107" s="1143" t="s">
        <v>619</v>
      </c>
      <c r="E107" s="1079">
        <v>0</v>
      </c>
      <c r="F107" s="1079">
        <v>65957</v>
      </c>
      <c r="G107" s="1079">
        <v>62276</v>
      </c>
      <c r="H107" s="1080">
        <f t="shared" si="15"/>
        <v>0.94419091226101859</v>
      </c>
    </row>
    <row r="108" spans="1:8" ht="17.100000000000001" customHeight="1">
      <c r="A108" s="1057"/>
      <c r="B108" s="2309"/>
      <c r="C108" s="1096" t="s">
        <v>620</v>
      </c>
      <c r="D108" s="1097" t="s">
        <v>563</v>
      </c>
      <c r="E108" s="1079">
        <v>1715691</v>
      </c>
      <c r="F108" s="1079">
        <v>2023024</v>
      </c>
      <c r="G108" s="1079">
        <v>2019863</v>
      </c>
      <c r="H108" s="1080">
        <f t="shared" si="15"/>
        <v>0.99843748764226226</v>
      </c>
    </row>
    <row r="109" spans="1:8" ht="17.100000000000001" customHeight="1">
      <c r="A109" s="1057"/>
      <c r="B109" s="2309"/>
      <c r="C109" s="1096" t="s">
        <v>621</v>
      </c>
      <c r="D109" s="1097" t="s">
        <v>563</v>
      </c>
      <c r="E109" s="1079">
        <v>981309</v>
      </c>
      <c r="F109" s="1079">
        <v>1156976</v>
      </c>
      <c r="G109" s="1079">
        <v>1154525</v>
      </c>
      <c r="H109" s="1080">
        <f t="shared" si="15"/>
        <v>0.99788154637607007</v>
      </c>
    </row>
    <row r="110" spans="1:8" ht="17.100000000000001" customHeight="1">
      <c r="A110" s="1057"/>
      <c r="B110" s="2309"/>
      <c r="C110" s="1096" t="s">
        <v>622</v>
      </c>
      <c r="D110" s="1097" t="s">
        <v>565</v>
      </c>
      <c r="E110" s="1079">
        <v>152712</v>
      </c>
      <c r="F110" s="1079">
        <v>118988</v>
      </c>
      <c r="G110" s="1079">
        <v>118710</v>
      </c>
      <c r="H110" s="1080">
        <f t="shared" si="15"/>
        <v>0.99766362994587687</v>
      </c>
    </row>
    <row r="111" spans="1:8" ht="17.100000000000001" customHeight="1">
      <c r="A111" s="1057"/>
      <c r="B111" s="2309"/>
      <c r="C111" s="1096" t="s">
        <v>623</v>
      </c>
      <c r="D111" s="1097" t="s">
        <v>565</v>
      </c>
      <c r="E111" s="1079">
        <v>87288</v>
      </c>
      <c r="F111" s="1079">
        <v>68012</v>
      </c>
      <c r="G111" s="1079">
        <v>67853</v>
      </c>
      <c r="H111" s="1080">
        <f t="shared" si="15"/>
        <v>0.99766217726283601</v>
      </c>
    </row>
    <row r="112" spans="1:8" ht="17.100000000000001" customHeight="1">
      <c r="A112" s="1057"/>
      <c r="B112" s="2309"/>
      <c r="C112" s="1096" t="s">
        <v>624</v>
      </c>
      <c r="D112" s="1097" t="s">
        <v>566</v>
      </c>
      <c r="E112" s="1079">
        <v>325149</v>
      </c>
      <c r="F112" s="1079">
        <v>369054</v>
      </c>
      <c r="G112" s="1079">
        <v>362433</v>
      </c>
      <c r="H112" s="1080">
        <f t="shared" si="15"/>
        <v>0.98205953600286133</v>
      </c>
    </row>
    <row r="113" spans="1:8" ht="17.100000000000001" customHeight="1">
      <c r="A113" s="1057"/>
      <c r="B113" s="2309"/>
      <c r="C113" s="1096" t="s">
        <v>625</v>
      </c>
      <c r="D113" s="1097" t="s">
        <v>566</v>
      </c>
      <c r="E113" s="1079">
        <v>185851</v>
      </c>
      <c r="F113" s="1079">
        <v>210946</v>
      </c>
      <c r="G113" s="1079">
        <v>207162</v>
      </c>
      <c r="H113" s="1080">
        <f t="shared" si="15"/>
        <v>0.98206175988167588</v>
      </c>
    </row>
    <row r="114" spans="1:8" ht="17.100000000000001" customHeight="1">
      <c r="A114" s="1057"/>
      <c r="B114" s="2309"/>
      <c r="C114" s="1096" t="s">
        <v>626</v>
      </c>
      <c r="D114" s="1097" t="s">
        <v>567</v>
      </c>
      <c r="E114" s="1079">
        <v>45813</v>
      </c>
      <c r="F114" s="1079">
        <v>57266</v>
      </c>
      <c r="G114" s="1079">
        <v>46108</v>
      </c>
      <c r="H114" s="1080">
        <f t="shared" si="15"/>
        <v>0.80515489120944361</v>
      </c>
    </row>
    <row r="115" spans="1:8" ht="17.100000000000001" customHeight="1">
      <c r="A115" s="1057"/>
      <c r="B115" s="2309"/>
      <c r="C115" s="1096" t="s">
        <v>627</v>
      </c>
      <c r="D115" s="1097" t="s">
        <v>567</v>
      </c>
      <c r="E115" s="1079">
        <v>26187</v>
      </c>
      <c r="F115" s="1079">
        <v>32083</v>
      </c>
      <c r="G115" s="1079">
        <v>26355</v>
      </c>
      <c r="H115" s="1080">
        <f t="shared" si="15"/>
        <v>0.82146308013589753</v>
      </c>
    </row>
    <row r="116" spans="1:8" ht="17.100000000000001" customHeight="1">
      <c r="A116" s="1057"/>
      <c r="B116" s="2309"/>
      <c r="C116" s="1096" t="s">
        <v>628</v>
      </c>
      <c r="D116" s="1097" t="s">
        <v>569</v>
      </c>
      <c r="E116" s="1079">
        <v>6363</v>
      </c>
      <c r="F116" s="1079">
        <v>6363</v>
      </c>
      <c r="G116" s="1079">
        <v>4772</v>
      </c>
      <c r="H116" s="1080">
        <f t="shared" si="15"/>
        <v>0.74996071035674994</v>
      </c>
    </row>
    <row r="117" spans="1:8" ht="17.100000000000001" customHeight="1">
      <c r="A117" s="1057"/>
      <c r="B117" s="2309"/>
      <c r="C117" s="1096" t="s">
        <v>629</v>
      </c>
      <c r="D117" s="1097" t="s">
        <v>569</v>
      </c>
      <c r="E117" s="1079">
        <v>3637</v>
      </c>
      <c r="F117" s="1079">
        <v>3637</v>
      </c>
      <c r="G117" s="1079">
        <v>2728</v>
      </c>
      <c r="H117" s="1080">
        <f t="shared" si="15"/>
        <v>0.75006873797085505</v>
      </c>
    </row>
    <row r="118" spans="1:8" ht="17.100000000000001" customHeight="1">
      <c r="A118" s="1057"/>
      <c r="B118" s="2309"/>
      <c r="C118" s="1096" t="s">
        <v>630</v>
      </c>
      <c r="D118" s="1097" t="s">
        <v>631</v>
      </c>
      <c r="E118" s="1079">
        <v>190890</v>
      </c>
      <c r="F118" s="1079">
        <v>6362</v>
      </c>
      <c r="G118" s="1079">
        <v>3177</v>
      </c>
      <c r="H118" s="1080">
        <f t="shared" si="15"/>
        <v>0.49937126689720213</v>
      </c>
    </row>
    <row r="119" spans="1:8" ht="17.100000000000001" customHeight="1">
      <c r="A119" s="1057"/>
      <c r="B119" s="2309"/>
      <c r="C119" s="1096" t="s">
        <v>632</v>
      </c>
      <c r="D119" s="1097" t="s">
        <v>631</v>
      </c>
      <c r="E119" s="1079">
        <v>109110</v>
      </c>
      <c r="F119" s="1079">
        <v>3638</v>
      </c>
      <c r="G119" s="1079">
        <v>1816</v>
      </c>
      <c r="H119" s="1080">
        <f t="shared" si="15"/>
        <v>0.49917537108301263</v>
      </c>
    </row>
    <row r="120" spans="1:8" ht="17.100000000000001" customHeight="1">
      <c r="A120" s="1057"/>
      <c r="B120" s="2309"/>
      <c r="C120" s="1096" t="s">
        <v>633</v>
      </c>
      <c r="D120" s="1097" t="s">
        <v>573</v>
      </c>
      <c r="E120" s="1079">
        <v>149530</v>
      </c>
      <c r="F120" s="1079">
        <v>62994</v>
      </c>
      <c r="G120" s="1079">
        <v>56923</v>
      </c>
      <c r="H120" s="1080">
        <f t="shared" si="15"/>
        <v>0.90362574213417146</v>
      </c>
    </row>
    <row r="121" spans="1:8" ht="17.100000000000001" customHeight="1">
      <c r="A121" s="1057"/>
      <c r="B121" s="2309"/>
      <c r="C121" s="1096" t="s">
        <v>634</v>
      </c>
      <c r="D121" s="1097" t="s">
        <v>573</v>
      </c>
      <c r="E121" s="1079">
        <v>85470</v>
      </c>
      <c r="F121" s="1079">
        <v>36006</v>
      </c>
      <c r="G121" s="1079">
        <v>32537</v>
      </c>
      <c r="H121" s="1080">
        <f t="shared" si="15"/>
        <v>0.90365494639782262</v>
      </c>
    </row>
    <row r="122" spans="1:8" ht="17.100000000000001" customHeight="1">
      <c r="A122" s="1057"/>
      <c r="B122" s="2309"/>
      <c r="C122" s="1096" t="s">
        <v>635</v>
      </c>
      <c r="D122" s="1097" t="s">
        <v>578</v>
      </c>
      <c r="E122" s="1079">
        <v>1908</v>
      </c>
      <c r="F122" s="1079">
        <v>11452</v>
      </c>
      <c r="G122" s="1079">
        <v>11307</v>
      </c>
      <c r="H122" s="1080">
        <f t="shared" si="15"/>
        <v>0.98733845616486204</v>
      </c>
    </row>
    <row r="123" spans="1:8" ht="17.100000000000001" customHeight="1">
      <c r="A123" s="1057"/>
      <c r="B123" s="2309"/>
      <c r="C123" s="1096" t="s">
        <v>636</v>
      </c>
      <c r="D123" s="1097" t="s">
        <v>578</v>
      </c>
      <c r="E123" s="1079">
        <v>1092</v>
      </c>
      <c r="F123" s="1079">
        <v>6548</v>
      </c>
      <c r="G123" s="1079">
        <v>6463</v>
      </c>
      <c r="H123" s="1080">
        <f t="shared" si="15"/>
        <v>0.98701893708002442</v>
      </c>
    </row>
    <row r="124" spans="1:8" ht="17.100000000000001" customHeight="1">
      <c r="A124" s="1057"/>
      <c r="B124" s="2309"/>
      <c r="C124" s="1096" t="s">
        <v>637</v>
      </c>
      <c r="D124" s="1097" t="s">
        <v>581</v>
      </c>
      <c r="E124" s="1079">
        <v>491223</v>
      </c>
      <c r="F124" s="1079">
        <v>209979</v>
      </c>
      <c r="G124" s="1079">
        <v>198569</v>
      </c>
      <c r="H124" s="1080">
        <f t="shared" si="15"/>
        <v>0.94566123278994563</v>
      </c>
    </row>
    <row r="125" spans="1:8" ht="17.100000000000001" customHeight="1">
      <c r="A125" s="1057"/>
      <c r="B125" s="2309"/>
      <c r="C125" s="1096" t="s">
        <v>638</v>
      </c>
      <c r="D125" s="1097" t="s">
        <v>581</v>
      </c>
      <c r="E125" s="1079">
        <v>280777</v>
      </c>
      <c r="F125" s="1079">
        <v>120021</v>
      </c>
      <c r="G125" s="1079">
        <v>113499</v>
      </c>
      <c r="H125" s="1080">
        <f t="shared" si="15"/>
        <v>0.94565950958582246</v>
      </c>
    </row>
    <row r="126" spans="1:8" ht="17.100000000000001" customHeight="1">
      <c r="A126" s="1057"/>
      <c r="B126" s="2309"/>
      <c r="C126" s="1096" t="s">
        <v>639</v>
      </c>
      <c r="D126" s="1097" t="s">
        <v>584</v>
      </c>
      <c r="E126" s="1079">
        <v>1908</v>
      </c>
      <c r="F126" s="1079">
        <v>0</v>
      </c>
      <c r="G126" s="1079">
        <v>0</v>
      </c>
      <c r="H126" s="1080"/>
    </row>
    <row r="127" spans="1:8" ht="17.100000000000001" customHeight="1">
      <c r="A127" s="1057"/>
      <c r="B127" s="2309"/>
      <c r="C127" s="1096" t="s">
        <v>640</v>
      </c>
      <c r="D127" s="1097" t="s">
        <v>584</v>
      </c>
      <c r="E127" s="1079">
        <v>1092</v>
      </c>
      <c r="F127" s="1079">
        <v>0</v>
      </c>
      <c r="G127" s="1079">
        <v>0</v>
      </c>
      <c r="H127" s="1080"/>
    </row>
    <row r="128" spans="1:8" ht="17.100000000000001" customHeight="1">
      <c r="A128" s="1057"/>
      <c r="B128" s="2309"/>
      <c r="C128" s="1096" t="s">
        <v>641</v>
      </c>
      <c r="D128" s="1097" t="s">
        <v>588</v>
      </c>
      <c r="E128" s="1079">
        <v>14635</v>
      </c>
      <c r="F128" s="1079">
        <v>6363</v>
      </c>
      <c r="G128" s="1079">
        <v>3463</v>
      </c>
      <c r="H128" s="1080">
        <f t="shared" si="15"/>
        <v>0.54424013829954421</v>
      </c>
    </row>
    <row r="129" spans="1:8" ht="17.100000000000001" customHeight="1">
      <c r="A129" s="1057"/>
      <c r="B129" s="2309"/>
      <c r="C129" s="1096" t="s">
        <v>642</v>
      </c>
      <c r="D129" s="1097" t="s">
        <v>588</v>
      </c>
      <c r="E129" s="1079">
        <v>8365</v>
      </c>
      <c r="F129" s="1079">
        <v>3637</v>
      </c>
      <c r="G129" s="1079">
        <v>1980</v>
      </c>
      <c r="H129" s="1080">
        <f t="shared" si="15"/>
        <v>0.5444047291723948</v>
      </c>
    </row>
    <row r="130" spans="1:8" ht="17.100000000000001" customHeight="1">
      <c r="A130" s="1057"/>
      <c r="B130" s="2309"/>
      <c r="C130" s="1096" t="s">
        <v>643</v>
      </c>
      <c r="D130" s="1097" t="s">
        <v>590</v>
      </c>
      <c r="E130" s="1079">
        <v>9544</v>
      </c>
      <c r="F130" s="1079">
        <v>5726</v>
      </c>
      <c r="G130" s="1079">
        <v>5181</v>
      </c>
      <c r="H130" s="1080">
        <f t="shared" si="15"/>
        <v>0.90482011875654911</v>
      </c>
    </row>
    <row r="131" spans="1:8" ht="17.100000000000001" customHeight="1">
      <c r="A131" s="1057"/>
      <c r="B131" s="2309"/>
      <c r="C131" s="1096" t="s">
        <v>644</v>
      </c>
      <c r="D131" s="1097" t="s">
        <v>590</v>
      </c>
      <c r="E131" s="1079">
        <v>5456</v>
      </c>
      <c r="F131" s="1079">
        <v>3274</v>
      </c>
      <c r="G131" s="1079">
        <v>2961</v>
      </c>
      <c r="H131" s="1080">
        <f t="shared" si="15"/>
        <v>0.90439828955406232</v>
      </c>
    </row>
    <row r="132" spans="1:8" ht="17.100000000000001" customHeight="1">
      <c r="A132" s="1057"/>
      <c r="B132" s="2309"/>
      <c r="C132" s="1096" t="s">
        <v>645</v>
      </c>
      <c r="D132" s="1097" t="s">
        <v>601</v>
      </c>
      <c r="E132" s="1079">
        <v>21634</v>
      </c>
      <c r="F132" s="1079">
        <v>4454</v>
      </c>
      <c r="G132" s="1079">
        <v>3307</v>
      </c>
      <c r="H132" s="1080">
        <f t="shared" si="15"/>
        <v>0.74247867085765606</v>
      </c>
    </row>
    <row r="133" spans="1:8" ht="17.100000000000001" customHeight="1" thickBot="1">
      <c r="A133" s="1057"/>
      <c r="B133" s="2309"/>
      <c r="C133" s="1087" t="s">
        <v>646</v>
      </c>
      <c r="D133" s="1088" t="s">
        <v>601</v>
      </c>
      <c r="E133" s="1079">
        <v>12366</v>
      </c>
      <c r="F133" s="1079">
        <v>2546</v>
      </c>
      <c r="G133" s="1079">
        <v>1890</v>
      </c>
      <c r="H133" s="1080">
        <f t="shared" si="15"/>
        <v>0.74234092694422626</v>
      </c>
    </row>
    <row r="134" spans="1:8" ht="17.100000000000001" customHeight="1" thickBot="1">
      <c r="A134" s="1057"/>
      <c r="B134" s="1144" t="s">
        <v>9</v>
      </c>
      <c r="C134" s="1145"/>
      <c r="D134" s="1146" t="s">
        <v>10</v>
      </c>
      <c r="E134" s="1147">
        <f t="shared" ref="E134:G134" si="23">E135+E145</f>
        <v>8000000</v>
      </c>
      <c r="F134" s="1147">
        <f t="shared" si="23"/>
        <v>11528769</v>
      </c>
      <c r="G134" s="1147">
        <f t="shared" si="23"/>
        <v>11265272</v>
      </c>
      <c r="H134" s="1148">
        <f t="shared" si="15"/>
        <v>0.97714439416732179</v>
      </c>
    </row>
    <row r="135" spans="1:8" ht="17.100000000000001" customHeight="1">
      <c r="A135" s="1057"/>
      <c r="B135" s="1149"/>
      <c r="C135" s="2112" t="s">
        <v>560</v>
      </c>
      <c r="D135" s="2112"/>
      <c r="E135" s="1063">
        <f t="shared" ref="E135:G135" si="24">E136+E141</f>
        <v>2760000</v>
      </c>
      <c r="F135" s="1063">
        <f t="shared" si="24"/>
        <v>3214500</v>
      </c>
      <c r="G135" s="1063">
        <f t="shared" si="24"/>
        <v>3147977</v>
      </c>
      <c r="H135" s="1064">
        <f t="shared" si="15"/>
        <v>0.97930533519987562</v>
      </c>
    </row>
    <row r="136" spans="1:8" ht="17.100000000000001" customHeight="1">
      <c r="A136" s="1057"/>
      <c r="B136" s="1149"/>
      <c r="C136" s="2276" t="s">
        <v>561</v>
      </c>
      <c r="D136" s="2276"/>
      <c r="E136" s="1079">
        <f t="shared" ref="E136:G136" si="25">E137</f>
        <v>105000</v>
      </c>
      <c r="F136" s="1079">
        <f t="shared" si="25"/>
        <v>182000</v>
      </c>
      <c r="G136" s="1079">
        <f t="shared" si="25"/>
        <v>162198</v>
      </c>
      <c r="H136" s="1080">
        <f t="shared" si="15"/>
        <v>0.8911978021978022</v>
      </c>
    </row>
    <row r="137" spans="1:8" ht="17.100000000000001" customHeight="1">
      <c r="A137" s="1057"/>
      <c r="B137" s="1149"/>
      <c r="C137" s="2278" t="s">
        <v>570</v>
      </c>
      <c r="D137" s="2278"/>
      <c r="E137" s="1079">
        <f t="shared" ref="E137:G137" si="26">SUM(E138:E139)</f>
        <v>105000</v>
      </c>
      <c r="F137" s="1079">
        <f t="shared" si="26"/>
        <v>182000</v>
      </c>
      <c r="G137" s="1079">
        <f t="shared" si="26"/>
        <v>162198</v>
      </c>
      <c r="H137" s="1080">
        <f t="shared" si="15"/>
        <v>0.8911978021978022</v>
      </c>
    </row>
    <row r="138" spans="1:8" ht="17.100000000000001" customHeight="1">
      <c r="A138" s="1057"/>
      <c r="B138" s="1149"/>
      <c r="C138" s="1096" t="s">
        <v>143</v>
      </c>
      <c r="D138" s="1097" t="s">
        <v>573</v>
      </c>
      <c r="E138" s="1079">
        <v>80000</v>
      </c>
      <c r="F138" s="1079">
        <v>157000</v>
      </c>
      <c r="G138" s="1079">
        <v>153342</v>
      </c>
      <c r="H138" s="1080">
        <f t="shared" ref="H138:H204" si="27">G138/F138</f>
        <v>0.97670063694267517</v>
      </c>
    </row>
    <row r="139" spans="1:8" ht="17.100000000000001" customHeight="1">
      <c r="A139" s="1057"/>
      <c r="B139" s="1149"/>
      <c r="C139" s="1096" t="s">
        <v>25</v>
      </c>
      <c r="D139" s="1097" t="s">
        <v>581</v>
      </c>
      <c r="E139" s="1079">
        <v>25000</v>
      </c>
      <c r="F139" s="1079">
        <v>25000</v>
      </c>
      <c r="G139" s="1079">
        <v>8856</v>
      </c>
      <c r="H139" s="1080">
        <f t="shared" si="27"/>
        <v>0.35424</v>
      </c>
    </row>
    <row r="140" spans="1:8" ht="17.100000000000001" customHeight="1">
      <c r="A140" s="1057"/>
      <c r="B140" s="1149"/>
      <c r="C140" s="2279"/>
      <c r="D140" s="2299"/>
      <c r="E140" s="1075"/>
      <c r="F140" s="1075"/>
      <c r="G140" s="1075"/>
      <c r="H140" s="1076"/>
    </row>
    <row r="141" spans="1:8" ht="17.100000000000001" customHeight="1">
      <c r="A141" s="1057"/>
      <c r="B141" s="1149"/>
      <c r="C141" s="2276" t="s">
        <v>647</v>
      </c>
      <c r="D141" s="2276"/>
      <c r="E141" s="1079">
        <f t="shared" ref="E141:G141" si="28">SUM(E142:E143)</f>
        <v>2655000</v>
      </c>
      <c r="F141" s="1079">
        <f t="shared" si="28"/>
        <v>3032500</v>
      </c>
      <c r="G141" s="1079">
        <f t="shared" si="28"/>
        <v>2985779</v>
      </c>
      <c r="H141" s="1080">
        <f t="shared" si="27"/>
        <v>0.98459323990107173</v>
      </c>
    </row>
    <row r="142" spans="1:8" ht="30.75" customHeight="1">
      <c r="A142" s="1057"/>
      <c r="B142" s="1149"/>
      <c r="C142" s="1096" t="s">
        <v>16</v>
      </c>
      <c r="D142" s="1097" t="s">
        <v>648</v>
      </c>
      <c r="E142" s="1079">
        <v>2605000</v>
      </c>
      <c r="F142" s="1079">
        <v>2962500</v>
      </c>
      <c r="G142" s="1079">
        <v>2919047</v>
      </c>
      <c r="H142" s="1080">
        <f t="shared" si="27"/>
        <v>0.98533232067510546</v>
      </c>
    </row>
    <row r="143" spans="1:8" ht="30.75" customHeight="1">
      <c r="A143" s="1057"/>
      <c r="B143" s="1149"/>
      <c r="C143" s="1096" t="s">
        <v>17</v>
      </c>
      <c r="D143" s="1097" t="s">
        <v>649</v>
      </c>
      <c r="E143" s="1079">
        <v>50000</v>
      </c>
      <c r="F143" s="1079">
        <v>70000</v>
      </c>
      <c r="G143" s="1079">
        <v>66732</v>
      </c>
      <c r="H143" s="1080">
        <f t="shared" si="27"/>
        <v>0.95331428571428567</v>
      </c>
    </row>
    <row r="144" spans="1:8" ht="17.100000000000001" customHeight="1">
      <c r="A144" s="1057"/>
      <c r="B144" s="2258"/>
      <c r="C144" s="2279"/>
      <c r="D144" s="2299"/>
      <c r="E144" s="1075"/>
      <c r="F144" s="1075"/>
      <c r="G144" s="1075"/>
      <c r="H144" s="1076"/>
    </row>
    <row r="145" spans="1:8" ht="17.100000000000001" customHeight="1">
      <c r="A145" s="1057"/>
      <c r="B145" s="2258"/>
      <c r="C145" s="2281" t="s">
        <v>605</v>
      </c>
      <c r="D145" s="2281"/>
      <c r="E145" s="1083">
        <f t="shared" ref="E145:G145" si="29">E146</f>
        <v>5240000</v>
      </c>
      <c r="F145" s="1083">
        <f t="shared" si="29"/>
        <v>8314269</v>
      </c>
      <c r="G145" s="1083">
        <f t="shared" si="29"/>
        <v>8117295</v>
      </c>
      <c r="H145" s="1084">
        <f t="shared" si="27"/>
        <v>0.97630892144576986</v>
      </c>
    </row>
    <row r="146" spans="1:8" ht="17.100000000000001" customHeight="1">
      <c r="A146" s="1057"/>
      <c r="B146" s="2258"/>
      <c r="C146" s="2272" t="s">
        <v>606</v>
      </c>
      <c r="D146" s="2272"/>
      <c r="E146" s="1079">
        <f t="shared" ref="E146:G146" si="30">SUM(E147:E149)</f>
        <v>5240000</v>
      </c>
      <c r="F146" s="1079">
        <f t="shared" si="30"/>
        <v>8314269</v>
      </c>
      <c r="G146" s="1079">
        <f t="shared" si="30"/>
        <v>8117295</v>
      </c>
      <c r="H146" s="1080">
        <f t="shared" si="27"/>
        <v>0.97630892144576986</v>
      </c>
    </row>
    <row r="147" spans="1:8" ht="17.100000000000001" customHeight="1">
      <c r="A147" s="1057"/>
      <c r="B147" s="2258"/>
      <c r="C147" s="1096" t="s">
        <v>144</v>
      </c>
      <c r="D147" s="1097" t="s">
        <v>650</v>
      </c>
      <c r="E147" s="1079">
        <v>150000</v>
      </c>
      <c r="F147" s="1079">
        <v>73000</v>
      </c>
      <c r="G147" s="1079">
        <v>67408</v>
      </c>
      <c r="H147" s="1080">
        <f t="shared" si="27"/>
        <v>0.92339726027397262</v>
      </c>
    </row>
    <row r="148" spans="1:8" ht="37.5" customHeight="1">
      <c r="A148" s="1057"/>
      <c r="B148" s="2258"/>
      <c r="C148" s="1096" t="s">
        <v>18</v>
      </c>
      <c r="D148" s="1097" t="s">
        <v>651</v>
      </c>
      <c r="E148" s="1079">
        <v>5040000</v>
      </c>
      <c r="F148" s="1079">
        <v>8146300</v>
      </c>
      <c r="G148" s="1079">
        <v>7994887</v>
      </c>
      <c r="H148" s="1080">
        <f t="shared" si="27"/>
        <v>0.98141327964842939</v>
      </c>
    </row>
    <row r="149" spans="1:8" ht="38.25">
      <c r="A149" s="1057"/>
      <c r="B149" s="2327"/>
      <c r="C149" s="1150" t="s">
        <v>21</v>
      </c>
      <c r="D149" s="1151" t="s">
        <v>652</v>
      </c>
      <c r="E149" s="1079">
        <v>50000</v>
      </c>
      <c r="F149" s="1079">
        <v>94969</v>
      </c>
      <c r="G149" s="1079">
        <v>55000</v>
      </c>
      <c r="H149" s="1080">
        <f t="shared" si="27"/>
        <v>0.57913634975623629</v>
      </c>
    </row>
    <row r="150" spans="1:8" ht="13.5" thickBot="1">
      <c r="A150" s="1057"/>
      <c r="B150" s="1152" t="s">
        <v>277</v>
      </c>
      <c r="C150" s="1153"/>
      <c r="D150" s="1154" t="s">
        <v>131</v>
      </c>
      <c r="E150" s="1155">
        <f>E151</f>
        <v>0</v>
      </c>
      <c r="F150" s="1155">
        <f t="shared" ref="F150:G152" si="31">F151</f>
        <v>2500</v>
      </c>
      <c r="G150" s="1155">
        <f t="shared" si="31"/>
        <v>0</v>
      </c>
      <c r="H150" s="1156">
        <f t="shared" si="27"/>
        <v>0</v>
      </c>
    </row>
    <row r="151" spans="1:8" ht="15.75" customHeight="1">
      <c r="A151" s="1057"/>
      <c r="B151" s="1093"/>
      <c r="C151" s="2281" t="s">
        <v>605</v>
      </c>
      <c r="D151" s="2281"/>
      <c r="E151" s="1103">
        <f>E152</f>
        <v>0</v>
      </c>
      <c r="F151" s="1103">
        <f t="shared" si="31"/>
        <v>2500</v>
      </c>
      <c r="G151" s="1103">
        <f t="shared" si="31"/>
        <v>0</v>
      </c>
      <c r="H151" s="1104">
        <f t="shared" si="27"/>
        <v>0</v>
      </c>
    </row>
    <row r="152" spans="1:8" ht="16.5" customHeight="1">
      <c r="A152" s="1057"/>
      <c r="B152" s="1093"/>
      <c r="C152" s="2272" t="s">
        <v>606</v>
      </c>
      <c r="D152" s="2272"/>
      <c r="E152" s="1079">
        <f>E153</f>
        <v>0</v>
      </c>
      <c r="F152" s="1079">
        <f t="shared" si="31"/>
        <v>2500</v>
      </c>
      <c r="G152" s="1079">
        <f t="shared" si="31"/>
        <v>0</v>
      </c>
      <c r="H152" s="1080">
        <f t="shared" si="27"/>
        <v>0</v>
      </c>
    </row>
    <row r="153" spans="1:8" ht="51.75" thickBot="1">
      <c r="A153" s="1057"/>
      <c r="B153" s="1093"/>
      <c r="C153" s="1132" t="s">
        <v>543</v>
      </c>
      <c r="D153" s="1133" t="s">
        <v>653</v>
      </c>
      <c r="E153" s="1089">
        <v>0</v>
      </c>
      <c r="F153" s="1089">
        <v>2500</v>
      </c>
      <c r="G153" s="1089">
        <v>0</v>
      </c>
      <c r="H153" s="1090">
        <f t="shared" si="27"/>
        <v>0</v>
      </c>
    </row>
    <row r="154" spans="1:8" ht="17.100000000000001" customHeight="1" thickBot="1">
      <c r="A154" s="1057"/>
      <c r="B154" s="1144" t="s">
        <v>279</v>
      </c>
      <c r="C154" s="1145"/>
      <c r="D154" s="1146" t="s">
        <v>11</v>
      </c>
      <c r="E154" s="1147">
        <f t="shared" ref="E154:G154" si="32">E155</f>
        <v>4092099</v>
      </c>
      <c r="F154" s="1147">
        <f t="shared" si="32"/>
        <v>7795246</v>
      </c>
      <c r="G154" s="1147">
        <f t="shared" si="32"/>
        <v>7515746</v>
      </c>
      <c r="H154" s="1148">
        <f t="shared" si="27"/>
        <v>0.96414481339010982</v>
      </c>
    </row>
    <row r="155" spans="1:8" ht="17.100000000000001" customHeight="1">
      <c r="A155" s="1057"/>
      <c r="B155" s="1093"/>
      <c r="C155" s="2112" t="s">
        <v>560</v>
      </c>
      <c r="D155" s="2112"/>
      <c r="E155" s="1063">
        <f>E156+E172</f>
        <v>4092099</v>
      </c>
      <c r="F155" s="1063">
        <f t="shared" ref="F155" si="33">F156+F172</f>
        <v>7795246</v>
      </c>
      <c r="G155" s="1063">
        <f>G156+G172</f>
        <v>7515746</v>
      </c>
      <c r="H155" s="1064">
        <f t="shared" si="27"/>
        <v>0.96414481339010982</v>
      </c>
    </row>
    <row r="156" spans="1:8" ht="17.100000000000001" customHeight="1">
      <c r="A156" s="1057"/>
      <c r="B156" s="1093"/>
      <c r="C156" s="2276" t="s">
        <v>561</v>
      </c>
      <c r="D156" s="2276"/>
      <c r="E156" s="1079">
        <f>E163+E157</f>
        <v>2092099</v>
      </c>
      <c r="F156" s="1079">
        <f t="shared" ref="F156" si="34">F163+F157</f>
        <v>5795246</v>
      </c>
      <c r="G156" s="1079">
        <f>G163+G157</f>
        <v>5515916</v>
      </c>
      <c r="H156" s="1080">
        <f t="shared" si="27"/>
        <v>0.9518001479143422</v>
      </c>
    </row>
    <row r="157" spans="1:8" ht="17.100000000000001" customHeight="1">
      <c r="A157" s="1057"/>
      <c r="B157" s="1093"/>
      <c r="C157" s="2319" t="s">
        <v>562</v>
      </c>
      <c r="D157" s="2320"/>
      <c r="E157" s="1115">
        <f>SUM(E158:E161)</f>
        <v>966710</v>
      </c>
      <c r="F157" s="1115">
        <f t="shared" ref="F157:G157" si="35">SUM(F158:F161)</f>
        <v>966710</v>
      </c>
      <c r="G157" s="1115">
        <f t="shared" si="35"/>
        <v>844808</v>
      </c>
      <c r="H157" s="1116">
        <f t="shared" si="27"/>
        <v>0.87390013551116674</v>
      </c>
    </row>
    <row r="158" spans="1:8" ht="17.100000000000001" customHeight="1">
      <c r="A158" s="1057"/>
      <c r="B158" s="1093"/>
      <c r="C158" s="1157" t="s">
        <v>145</v>
      </c>
      <c r="D158" s="1158" t="s">
        <v>563</v>
      </c>
      <c r="E158" s="1079">
        <v>753191</v>
      </c>
      <c r="F158" s="1079">
        <v>735191</v>
      </c>
      <c r="G158" s="1079">
        <v>672057</v>
      </c>
      <c r="H158" s="1080">
        <f t="shared" si="27"/>
        <v>0.91412571699055079</v>
      </c>
    </row>
    <row r="159" spans="1:8" ht="17.100000000000001" customHeight="1">
      <c r="A159" s="1057"/>
      <c r="B159" s="1093"/>
      <c r="C159" s="1157" t="s">
        <v>564</v>
      </c>
      <c r="D159" s="1097" t="s">
        <v>565</v>
      </c>
      <c r="E159" s="1079">
        <v>53543</v>
      </c>
      <c r="F159" s="1079">
        <v>53543</v>
      </c>
      <c r="G159" s="1079">
        <v>37464</v>
      </c>
      <c r="H159" s="1080">
        <f t="shared" si="27"/>
        <v>0.69969930709896722</v>
      </c>
    </row>
    <row r="160" spans="1:8" ht="17.100000000000001" customHeight="1">
      <c r="A160" s="1057"/>
      <c r="B160" s="1093"/>
      <c r="C160" s="1157" t="s">
        <v>146</v>
      </c>
      <c r="D160" s="1158" t="s">
        <v>566</v>
      </c>
      <c r="E160" s="1079">
        <v>159976</v>
      </c>
      <c r="F160" s="1079">
        <v>159976</v>
      </c>
      <c r="G160" s="1079">
        <v>119717</v>
      </c>
      <c r="H160" s="1080">
        <f t="shared" si="27"/>
        <v>0.74834350152522877</v>
      </c>
    </row>
    <row r="161" spans="1:8" ht="17.100000000000001" customHeight="1">
      <c r="A161" s="1057"/>
      <c r="B161" s="1093"/>
      <c r="C161" s="1159" t="s">
        <v>147</v>
      </c>
      <c r="D161" s="1160" t="s">
        <v>567</v>
      </c>
      <c r="E161" s="1079">
        <v>0</v>
      </c>
      <c r="F161" s="1079">
        <v>18000</v>
      </c>
      <c r="G161" s="1079">
        <v>15570</v>
      </c>
      <c r="H161" s="1080">
        <f t="shared" si="27"/>
        <v>0.86499999999999999</v>
      </c>
    </row>
    <row r="162" spans="1:8" ht="17.100000000000001" customHeight="1">
      <c r="A162" s="1057"/>
      <c r="B162" s="1093"/>
      <c r="C162" s="2325"/>
      <c r="D162" s="2326"/>
      <c r="E162" s="1079"/>
      <c r="F162" s="1079"/>
      <c r="G162" s="1079"/>
      <c r="H162" s="1080"/>
    </row>
    <row r="163" spans="1:8" ht="17.100000000000001" customHeight="1">
      <c r="A163" s="1057"/>
      <c r="B163" s="1093"/>
      <c r="C163" s="2278" t="s">
        <v>570</v>
      </c>
      <c r="D163" s="2278"/>
      <c r="E163" s="1079">
        <f>SUM(E164:E170)</f>
        <v>1125389</v>
      </c>
      <c r="F163" s="1079">
        <f t="shared" ref="F163" si="36">SUM(F164:F170)</f>
        <v>4828536</v>
      </c>
      <c r="G163" s="1079">
        <f>SUM(G164:G170)</f>
        <v>4671108</v>
      </c>
      <c r="H163" s="1080">
        <f t="shared" si="27"/>
        <v>0.9673963288251346</v>
      </c>
    </row>
    <row r="164" spans="1:8" ht="17.100000000000001" customHeight="1">
      <c r="A164" s="1057"/>
      <c r="B164" s="1093"/>
      <c r="C164" s="1161" t="s">
        <v>571</v>
      </c>
      <c r="D164" s="1162" t="s">
        <v>572</v>
      </c>
      <c r="E164" s="1079">
        <v>18780</v>
      </c>
      <c r="F164" s="1079">
        <v>18780</v>
      </c>
      <c r="G164" s="1079">
        <v>17274</v>
      </c>
      <c r="H164" s="1080">
        <f t="shared" si="27"/>
        <v>0.91980830670926517</v>
      </c>
    </row>
    <row r="165" spans="1:8" ht="17.100000000000001" customHeight="1">
      <c r="A165" s="1057"/>
      <c r="B165" s="1093"/>
      <c r="C165" s="1096" t="s">
        <v>163</v>
      </c>
      <c r="D165" s="1162" t="s">
        <v>631</v>
      </c>
      <c r="E165" s="1079">
        <f>20000+12000</f>
        <v>32000</v>
      </c>
      <c r="F165" s="1079">
        <v>41609</v>
      </c>
      <c r="G165" s="1079">
        <v>41012</v>
      </c>
      <c r="H165" s="1080">
        <f t="shared" si="27"/>
        <v>0.98565214256531042</v>
      </c>
    </row>
    <row r="166" spans="1:8" ht="17.100000000000001" customHeight="1">
      <c r="A166" s="1057"/>
      <c r="B166" s="1093"/>
      <c r="C166" s="1096" t="s">
        <v>143</v>
      </c>
      <c r="D166" s="1162" t="s">
        <v>573</v>
      </c>
      <c r="E166" s="1079">
        <v>15000</v>
      </c>
      <c r="F166" s="1079">
        <v>26900</v>
      </c>
      <c r="G166" s="1079">
        <v>26900</v>
      </c>
      <c r="H166" s="1080">
        <f t="shared" si="27"/>
        <v>1</v>
      </c>
    </row>
    <row r="167" spans="1:8" ht="17.100000000000001" customHeight="1">
      <c r="A167" s="1057"/>
      <c r="B167" s="1069"/>
      <c r="C167" s="1096" t="s">
        <v>25</v>
      </c>
      <c r="D167" s="1097" t="s">
        <v>581</v>
      </c>
      <c r="E167" s="1079">
        <f>680000+164609+10000</f>
        <v>854609</v>
      </c>
      <c r="F167" s="1079">
        <v>453437</v>
      </c>
      <c r="G167" s="1079">
        <v>358754</v>
      </c>
      <c r="H167" s="1080">
        <f t="shared" si="27"/>
        <v>0.79118819152385012</v>
      </c>
    </row>
    <row r="168" spans="1:8" ht="17.100000000000001" customHeight="1">
      <c r="A168" s="1057"/>
      <c r="B168" s="1069"/>
      <c r="C168" s="1096" t="s">
        <v>164</v>
      </c>
      <c r="D168" s="1097" t="s">
        <v>584</v>
      </c>
      <c r="E168" s="1079">
        <v>200000</v>
      </c>
      <c r="F168" s="1079">
        <v>335400</v>
      </c>
      <c r="G168" s="1079">
        <v>284192</v>
      </c>
      <c r="H168" s="1080">
        <f t="shared" si="27"/>
        <v>0.84732259988073944</v>
      </c>
    </row>
    <row r="169" spans="1:8" ht="17.100000000000001" customHeight="1">
      <c r="A169" s="1057"/>
      <c r="B169" s="1069"/>
      <c r="C169" s="1096" t="s">
        <v>654</v>
      </c>
      <c r="D169" s="1097" t="s">
        <v>655</v>
      </c>
      <c r="E169" s="1079">
        <v>0</v>
      </c>
      <c r="F169" s="1079">
        <v>3942410</v>
      </c>
      <c r="G169" s="1079">
        <v>3937742</v>
      </c>
      <c r="H169" s="1080">
        <f t="shared" si="27"/>
        <v>0.9988159526786915</v>
      </c>
    </row>
    <row r="170" spans="1:8" ht="17.100000000000001" customHeight="1">
      <c r="A170" s="1057"/>
      <c r="B170" s="1069"/>
      <c r="C170" s="1096" t="s">
        <v>608</v>
      </c>
      <c r="D170" s="1097" t="s">
        <v>609</v>
      </c>
      <c r="E170" s="1079">
        <v>5000</v>
      </c>
      <c r="F170" s="1079">
        <v>10000</v>
      </c>
      <c r="G170" s="1079">
        <v>5234</v>
      </c>
      <c r="H170" s="1080">
        <f t="shared" si="27"/>
        <v>0.52339999999999998</v>
      </c>
    </row>
    <row r="171" spans="1:8" ht="17.100000000000001" customHeight="1">
      <c r="A171" s="1057"/>
      <c r="B171" s="1069"/>
      <c r="C171" s="1163"/>
      <c r="D171" s="1163"/>
      <c r="E171" s="1164"/>
      <c r="F171" s="1164"/>
      <c r="G171" s="1164"/>
      <c r="H171" s="1165"/>
    </row>
    <row r="172" spans="1:8" ht="17.100000000000001" customHeight="1">
      <c r="A172" s="1057"/>
      <c r="B172" s="1069"/>
      <c r="C172" s="2186" t="s">
        <v>647</v>
      </c>
      <c r="D172" s="2186"/>
      <c r="E172" s="1103">
        <f t="shared" ref="E172:G172" si="37">E173</f>
        <v>2000000</v>
      </c>
      <c r="F172" s="1103">
        <f t="shared" si="37"/>
        <v>2000000</v>
      </c>
      <c r="G172" s="1103">
        <f t="shared" si="37"/>
        <v>1999830</v>
      </c>
      <c r="H172" s="1104">
        <f t="shared" si="27"/>
        <v>0.999915</v>
      </c>
    </row>
    <row r="173" spans="1:8" ht="45" customHeight="1" thickBot="1">
      <c r="A173" s="1057"/>
      <c r="B173" s="1069"/>
      <c r="C173" s="1166" t="s">
        <v>125</v>
      </c>
      <c r="D173" s="1167" t="s">
        <v>656</v>
      </c>
      <c r="E173" s="1089">
        <v>2000000</v>
      </c>
      <c r="F173" s="1089">
        <v>2000000</v>
      </c>
      <c r="G173" s="1089">
        <v>1999830</v>
      </c>
      <c r="H173" s="1090">
        <f t="shared" si="27"/>
        <v>0.999915</v>
      </c>
    </row>
    <row r="174" spans="1:8" ht="17.100000000000001" customHeight="1" thickBot="1">
      <c r="A174" s="1051" t="s">
        <v>282</v>
      </c>
      <c r="B174" s="1168"/>
      <c r="C174" s="1169"/>
      <c r="D174" s="1170" t="s">
        <v>657</v>
      </c>
      <c r="E174" s="1171">
        <f t="shared" ref="E174:G175" si="38">SUM(E175)</f>
        <v>600000</v>
      </c>
      <c r="F174" s="1171">
        <f t="shared" si="38"/>
        <v>600447</v>
      </c>
      <c r="G174" s="1171">
        <f t="shared" si="38"/>
        <v>471298</v>
      </c>
      <c r="H174" s="1172">
        <f t="shared" si="27"/>
        <v>0.78491190729573135</v>
      </c>
    </row>
    <row r="175" spans="1:8" ht="42.75" customHeight="1">
      <c r="A175" s="1057"/>
      <c r="B175" s="1173" t="s">
        <v>284</v>
      </c>
      <c r="C175" s="1174"/>
      <c r="D175" s="1175" t="s">
        <v>658</v>
      </c>
      <c r="E175" s="1176">
        <f>SUM(E176)</f>
        <v>600000</v>
      </c>
      <c r="F175" s="1176">
        <f t="shared" si="38"/>
        <v>600447</v>
      </c>
      <c r="G175" s="1176">
        <f t="shared" si="38"/>
        <v>471298</v>
      </c>
      <c r="H175" s="1177">
        <f t="shared" si="27"/>
        <v>0.78491190729573135</v>
      </c>
    </row>
    <row r="176" spans="1:8" ht="17.100000000000001" customHeight="1">
      <c r="A176" s="1057"/>
      <c r="B176" s="2324"/>
      <c r="C176" s="2323" t="s">
        <v>560</v>
      </c>
      <c r="D176" s="2323"/>
      <c r="E176" s="1083">
        <f>E177</f>
        <v>600000</v>
      </c>
      <c r="F176" s="1083">
        <f t="shared" ref="F176:G176" si="39">F177</f>
        <v>600447</v>
      </c>
      <c r="G176" s="1083">
        <f t="shared" si="39"/>
        <v>471298</v>
      </c>
      <c r="H176" s="1084">
        <f t="shared" si="27"/>
        <v>0.78491190729573135</v>
      </c>
    </row>
    <row r="177" spans="1:8" ht="17.100000000000001" customHeight="1">
      <c r="A177" s="1057"/>
      <c r="B177" s="2258"/>
      <c r="C177" s="2276" t="s">
        <v>616</v>
      </c>
      <c r="D177" s="2276"/>
      <c r="E177" s="1079">
        <f>SUM(E178:E204)</f>
        <v>600000</v>
      </c>
      <c r="F177" s="1079">
        <f t="shared" ref="F177:G177" si="40">SUM(F178:F204)</f>
        <v>600447</v>
      </c>
      <c r="G177" s="1079">
        <f t="shared" si="40"/>
        <v>471298</v>
      </c>
      <c r="H177" s="1080">
        <f t="shared" si="27"/>
        <v>0.78491190729573135</v>
      </c>
    </row>
    <row r="178" spans="1:8" ht="40.5" customHeight="1">
      <c r="A178" s="1057"/>
      <c r="B178" s="2258"/>
      <c r="C178" s="1159" t="s">
        <v>659</v>
      </c>
      <c r="D178" s="1178" t="s">
        <v>660</v>
      </c>
      <c r="E178" s="1109">
        <v>0</v>
      </c>
      <c r="F178" s="1109">
        <v>300</v>
      </c>
      <c r="G178" s="1109">
        <v>300</v>
      </c>
      <c r="H178" s="1110">
        <f t="shared" si="27"/>
        <v>1</v>
      </c>
    </row>
    <row r="179" spans="1:8" ht="41.25" customHeight="1">
      <c r="A179" s="1057"/>
      <c r="B179" s="2258"/>
      <c r="C179" s="1159" t="s">
        <v>474</v>
      </c>
      <c r="D179" s="1178" t="s">
        <v>660</v>
      </c>
      <c r="E179" s="1109">
        <v>0</v>
      </c>
      <c r="F179" s="1109">
        <v>100</v>
      </c>
      <c r="G179" s="1109">
        <v>100</v>
      </c>
      <c r="H179" s="1110">
        <f t="shared" si="27"/>
        <v>1</v>
      </c>
    </row>
    <row r="180" spans="1:8" ht="17.100000000000001" customHeight="1">
      <c r="A180" s="1057"/>
      <c r="B180" s="2258"/>
      <c r="C180" s="1096" t="s">
        <v>620</v>
      </c>
      <c r="D180" s="1097" t="s">
        <v>563</v>
      </c>
      <c r="E180" s="1079">
        <v>325500</v>
      </c>
      <c r="F180" s="1079">
        <v>325500</v>
      </c>
      <c r="G180" s="1079">
        <v>271765</v>
      </c>
      <c r="H180" s="1080">
        <f t="shared" si="27"/>
        <v>0.83491551459293389</v>
      </c>
    </row>
    <row r="181" spans="1:8" ht="17.100000000000001" customHeight="1">
      <c r="A181" s="1057"/>
      <c r="B181" s="1069"/>
      <c r="C181" s="1096" t="s">
        <v>621</v>
      </c>
      <c r="D181" s="1097" t="s">
        <v>563</v>
      </c>
      <c r="E181" s="1079">
        <v>108500</v>
      </c>
      <c r="F181" s="1079">
        <v>108500</v>
      </c>
      <c r="G181" s="1079">
        <v>90588</v>
      </c>
      <c r="H181" s="1080">
        <f t="shared" si="27"/>
        <v>0.83491244239631335</v>
      </c>
    </row>
    <row r="182" spans="1:8" ht="17.100000000000001" customHeight="1">
      <c r="A182" s="1057"/>
      <c r="B182" s="1069"/>
      <c r="C182" s="1096" t="s">
        <v>622</v>
      </c>
      <c r="D182" s="1097" t="s">
        <v>565</v>
      </c>
      <c r="E182" s="1079">
        <v>24000</v>
      </c>
      <c r="F182" s="1079">
        <v>24000</v>
      </c>
      <c r="G182" s="1079">
        <v>20187</v>
      </c>
      <c r="H182" s="1080">
        <f t="shared" si="27"/>
        <v>0.84112500000000001</v>
      </c>
    </row>
    <row r="183" spans="1:8" ht="17.100000000000001" customHeight="1">
      <c r="A183" s="1057"/>
      <c r="B183" s="1069"/>
      <c r="C183" s="1096" t="s">
        <v>623</v>
      </c>
      <c r="D183" s="1097" t="s">
        <v>565</v>
      </c>
      <c r="E183" s="1079">
        <v>8000</v>
      </c>
      <c r="F183" s="1079">
        <v>8000</v>
      </c>
      <c r="G183" s="1079">
        <v>6729</v>
      </c>
      <c r="H183" s="1080">
        <f t="shared" si="27"/>
        <v>0.84112500000000001</v>
      </c>
    </row>
    <row r="184" spans="1:8" ht="17.100000000000001" customHeight="1">
      <c r="A184" s="1057"/>
      <c r="B184" s="1069"/>
      <c r="C184" s="1096" t="s">
        <v>624</v>
      </c>
      <c r="D184" s="1097" t="s">
        <v>566</v>
      </c>
      <c r="E184" s="1079">
        <v>60750</v>
      </c>
      <c r="F184" s="1079">
        <v>60750</v>
      </c>
      <c r="G184" s="1079">
        <v>50050</v>
      </c>
      <c r="H184" s="1080">
        <f t="shared" si="27"/>
        <v>0.82386831275720163</v>
      </c>
    </row>
    <row r="185" spans="1:8" ht="17.100000000000001" customHeight="1">
      <c r="A185" s="1057"/>
      <c r="B185" s="1069"/>
      <c r="C185" s="1096" t="s">
        <v>625</v>
      </c>
      <c r="D185" s="1097" t="s">
        <v>566</v>
      </c>
      <c r="E185" s="1079">
        <v>20250</v>
      </c>
      <c r="F185" s="1079">
        <v>20250</v>
      </c>
      <c r="G185" s="1079">
        <v>16684</v>
      </c>
      <c r="H185" s="1080">
        <f t="shared" si="27"/>
        <v>0.82390123456790121</v>
      </c>
    </row>
    <row r="186" spans="1:8" ht="17.100000000000001" customHeight="1">
      <c r="A186" s="1057"/>
      <c r="B186" s="1069"/>
      <c r="C186" s="1096" t="s">
        <v>626</v>
      </c>
      <c r="D186" s="1097" t="s">
        <v>567</v>
      </c>
      <c r="E186" s="1079">
        <v>8550</v>
      </c>
      <c r="F186" s="1079">
        <v>8550</v>
      </c>
      <c r="G186" s="1079">
        <v>6229</v>
      </c>
      <c r="H186" s="1080">
        <f t="shared" si="27"/>
        <v>0.72853801169590648</v>
      </c>
    </row>
    <row r="187" spans="1:8" ht="17.100000000000001" customHeight="1">
      <c r="A187" s="1057"/>
      <c r="B187" s="1069"/>
      <c r="C187" s="1096" t="s">
        <v>627</v>
      </c>
      <c r="D187" s="1097" t="s">
        <v>567</v>
      </c>
      <c r="E187" s="1079">
        <v>2850</v>
      </c>
      <c r="F187" s="1079">
        <v>2850</v>
      </c>
      <c r="G187" s="1079">
        <v>2077</v>
      </c>
      <c r="H187" s="1080">
        <f t="shared" si="27"/>
        <v>0.7287719298245614</v>
      </c>
    </row>
    <row r="188" spans="1:8" ht="17.100000000000001" customHeight="1">
      <c r="A188" s="1057"/>
      <c r="B188" s="1069"/>
      <c r="C188" s="1096" t="s">
        <v>628</v>
      </c>
      <c r="D188" s="1097" t="s">
        <v>569</v>
      </c>
      <c r="E188" s="1079">
        <v>450</v>
      </c>
      <c r="F188" s="1079">
        <v>450</v>
      </c>
      <c r="G188" s="1079">
        <v>0</v>
      </c>
      <c r="H188" s="1080">
        <f t="shared" si="27"/>
        <v>0</v>
      </c>
    </row>
    <row r="189" spans="1:8" ht="17.100000000000001" customHeight="1">
      <c r="A189" s="1057"/>
      <c r="B189" s="1069"/>
      <c r="C189" s="1096" t="s">
        <v>629</v>
      </c>
      <c r="D189" s="1097" t="s">
        <v>569</v>
      </c>
      <c r="E189" s="1079">
        <v>150</v>
      </c>
      <c r="F189" s="1079">
        <v>150</v>
      </c>
      <c r="G189" s="1079">
        <v>0</v>
      </c>
      <c r="H189" s="1080">
        <f t="shared" si="27"/>
        <v>0</v>
      </c>
    </row>
    <row r="190" spans="1:8" ht="17.100000000000001" customHeight="1">
      <c r="A190" s="1057"/>
      <c r="B190" s="1069"/>
      <c r="C190" s="1096" t="s">
        <v>633</v>
      </c>
      <c r="D190" s="1097" t="s">
        <v>573</v>
      </c>
      <c r="E190" s="1079">
        <v>5250</v>
      </c>
      <c r="F190" s="1079">
        <v>5250</v>
      </c>
      <c r="G190" s="1079">
        <v>1603</v>
      </c>
      <c r="H190" s="1080">
        <f t="shared" si="27"/>
        <v>0.30533333333333335</v>
      </c>
    </row>
    <row r="191" spans="1:8" ht="17.100000000000001" customHeight="1">
      <c r="A191" s="1057"/>
      <c r="B191" s="1069"/>
      <c r="C191" s="1096" t="s">
        <v>634</v>
      </c>
      <c r="D191" s="1097" t="s">
        <v>573</v>
      </c>
      <c r="E191" s="1079">
        <v>1750</v>
      </c>
      <c r="F191" s="1079">
        <v>1750</v>
      </c>
      <c r="G191" s="1079">
        <v>534</v>
      </c>
      <c r="H191" s="1080">
        <f t="shared" si="27"/>
        <v>0.30514285714285716</v>
      </c>
    </row>
    <row r="192" spans="1:8" ht="17.100000000000001" customHeight="1">
      <c r="A192" s="1057"/>
      <c r="B192" s="1069"/>
      <c r="C192" s="1096" t="s">
        <v>635</v>
      </c>
      <c r="D192" s="1097" t="s">
        <v>578</v>
      </c>
      <c r="E192" s="1079">
        <v>1500</v>
      </c>
      <c r="F192" s="1079">
        <v>1500</v>
      </c>
      <c r="G192" s="1079">
        <v>417</v>
      </c>
      <c r="H192" s="1080">
        <f t="shared" si="27"/>
        <v>0.27800000000000002</v>
      </c>
    </row>
    <row r="193" spans="1:8" ht="17.100000000000001" customHeight="1">
      <c r="A193" s="1057"/>
      <c r="B193" s="1069"/>
      <c r="C193" s="1096" t="s">
        <v>636</v>
      </c>
      <c r="D193" s="1097" t="s">
        <v>578</v>
      </c>
      <c r="E193" s="1079">
        <v>500</v>
      </c>
      <c r="F193" s="1079">
        <v>500</v>
      </c>
      <c r="G193" s="1079">
        <v>139</v>
      </c>
      <c r="H193" s="1080">
        <f t="shared" si="27"/>
        <v>0.27800000000000002</v>
      </c>
    </row>
    <row r="194" spans="1:8" ht="17.100000000000001" customHeight="1">
      <c r="A194" s="1057"/>
      <c r="B194" s="1069"/>
      <c r="C194" s="1096" t="s">
        <v>637</v>
      </c>
      <c r="D194" s="1097" t="s">
        <v>581</v>
      </c>
      <c r="E194" s="1079">
        <v>7500</v>
      </c>
      <c r="F194" s="1079">
        <v>7125</v>
      </c>
      <c r="G194" s="1079">
        <v>74</v>
      </c>
      <c r="H194" s="1080">
        <f t="shared" si="27"/>
        <v>1.0385964912280702E-2</v>
      </c>
    </row>
    <row r="195" spans="1:8" ht="14.25" customHeight="1">
      <c r="A195" s="1057"/>
      <c r="B195" s="1069"/>
      <c r="C195" s="1096" t="s">
        <v>638</v>
      </c>
      <c r="D195" s="1097" t="s">
        <v>581</v>
      </c>
      <c r="E195" s="1079">
        <v>2500</v>
      </c>
      <c r="F195" s="1079">
        <v>2375</v>
      </c>
      <c r="G195" s="1079">
        <v>25</v>
      </c>
      <c r="H195" s="1080">
        <f t="shared" si="27"/>
        <v>1.0526315789473684E-2</v>
      </c>
    </row>
    <row r="196" spans="1:8" ht="15.75" customHeight="1">
      <c r="A196" s="1057"/>
      <c r="B196" s="1069"/>
      <c r="C196" s="1096" t="s">
        <v>639</v>
      </c>
      <c r="D196" s="1097" t="s">
        <v>661</v>
      </c>
      <c r="E196" s="1079">
        <v>1500</v>
      </c>
      <c r="F196" s="1079">
        <v>1500</v>
      </c>
      <c r="G196" s="1079">
        <v>0</v>
      </c>
      <c r="H196" s="1080">
        <f t="shared" si="27"/>
        <v>0</v>
      </c>
    </row>
    <row r="197" spans="1:8" ht="16.5" customHeight="1">
      <c r="A197" s="1057"/>
      <c r="B197" s="1069"/>
      <c r="C197" s="1096" t="s">
        <v>640</v>
      </c>
      <c r="D197" s="1097" t="s">
        <v>661</v>
      </c>
      <c r="E197" s="1079">
        <v>500</v>
      </c>
      <c r="F197" s="1079">
        <v>500</v>
      </c>
      <c r="G197" s="1079">
        <v>0</v>
      </c>
      <c r="H197" s="1080">
        <f t="shared" si="27"/>
        <v>0</v>
      </c>
    </row>
    <row r="198" spans="1:8" ht="17.100000000000001" customHeight="1">
      <c r="A198" s="1057"/>
      <c r="B198" s="1069"/>
      <c r="C198" s="1096" t="s">
        <v>641</v>
      </c>
      <c r="D198" s="1097" t="s">
        <v>588</v>
      </c>
      <c r="E198" s="1079">
        <v>9000</v>
      </c>
      <c r="F198" s="1079">
        <v>9000</v>
      </c>
      <c r="G198" s="1079">
        <v>191</v>
      </c>
      <c r="H198" s="1080">
        <f t="shared" si="27"/>
        <v>2.1222222222222222E-2</v>
      </c>
    </row>
    <row r="199" spans="1:8" ht="17.100000000000001" customHeight="1">
      <c r="A199" s="1057"/>
      <c r="B199" s="1069"/>
      <c r="C199" s="1096" t="s">
        <v>642</v>
      </c>
      <c r="D199" s="1097" t="s">
        <v>588</v>
      </c>
      <c r="E199" s="1079">
        <v>3000</v>
      </c>
      <c r="F199" s="1079">
        <v>3000</v>
      </c>
      <c r="G199" s="1079">
        <v>64</v>
      </c>
      <c r="H199" s="1080">
        <f t="shared" si="27"/>
        <v>2.1333333333333333E-2</v>
      </c>
    </row>
    <row r="200" spans="1:8" ht="15" customHeight="1">
      <c r="A200" s="1057"/>
      <c r="B200" s="1069"/>
      <c r="C200" s="1096" t="s">
        <v>643</v>
      </c>
      <c r="D200" s="1097" t="s">
        <v>590</v>
      </c>
      <c r="E200" s="1079">
        <v>0</v>
      </c>
      <c r="F200" s="1079">
        <v>375</v>
      </c>
      <c r="G200" s="1079">
        <v>245</v>
      </c>
      <c r="H200" s="1080">
        <f t="shared" si="27"/>
        <v>0.65333333333333332</v>
      </c>
    </row>
    <row r="201" spans="1:8" ht="15" customHeight="1">
      <c r="A201" s="1057"/>
      <c r="B201" s="1069"/>
      <c r="C201" s="1096" t="s">
        <v>644</v>
      </c>
      <c r="D201" s="1097" t="s">
        <v>590</v>
      </c>
      <c r="E201" s="1079">
        <v>0</v>
      </c>
      <c r="F201" s="1079">
        <v>125</v>
      </c>
      <c r="G201" s="1079">
        <v>81</v>
      </c>
      <c r="H201" s="1080">
        <f t="shared" si="27"/>
        <v>0.64800000000000002</v>
      </c>
    </row>
    <row r="202" spans="1:8" ht="42" customHeight="1">
      <c r="A202" s="1057"/>
      <c r="B202" s="1069"/>
      <c r="C202" s="1096" t="s">
        <v>662</v>
      </c>
      <c r="D202" s="1097" t="s">
        <v>663</v>
      </c>
      <c r="E202" s="1079">
        <v>0</v>
      </c>
      <c r="F202" s="1079">
        <v>47</v>
      </c>
      <c r="G202" s="1079">
        <v>45</v>
      </c>
      <c r="H202" s="1080">
        <f t="shared" si="27"/>
        <v>0.95744680851063835</v>
      </c>
    </row>
    <row r="203" spans="1:8" ht="17.100000000000001" customHeight="1">
      <c r="A203" s="1057"/>
      <c r="B203" s="1069"/>
      <c r="C203" s="1096" t="s">
        <v>645</v>
      </c>
      <c r="D203" s="1097" t="s">
        <v>601</v>
      </c>
      <c r="E203" s="1079">
        <v>6000</v>
      </c>
      <c r="F203" s="1079">
        <v>6000</v>
      </c>
      <c r="G203" s="1079">
        <v>2378</v>
      </c>
      <c r="H203" s="1080">
        <f t="shared" si="27"/>
        <v>0.39633333333333332</v>
      </c>
    </row>
    <row r="204" spans="1:8" ht="17.100000000000001" customHeight="1" thickBot="1">
      <c r="A204" s="1057"/>
      <c r="B204" s="1069"/>
      <c r="C204" s="1179" t="s">
        <v>646</v>
      </c>
      <c r="D204" s="1180" t="s">
        <v>601</v>
      </c>
      <c r="E204" s="1079">
        <v>2000</v>
      </c>
      <c r="F204" s="1079">
        <v>2000</v>
      </c>
      <c r="G204" s="1079">
        <v>793</v>
      </c>
      <c r="H204" s="1080">
        <f t="shared" si="27"/>
        <v>0.39650000000000002</v>
      </c>
    </row>
    <row r="205" spans="1:8" ht="17.100000000000001" customHeight="1" thickBot="1">
      <c r="A205" s="1051" t="s">
        <v>292</v>
      </c>
      <c r="B205" s="1168"/>
      <c r="C205" s="1181"/>
      <c r="D205" s="1182" t="s">
        <v>664</v>
      </c>
      <c r="E205" s="1171">
        <f>E206</f>
        <v>29390820</v>
      </c>
      <c r="F205" s="1171">
        <f t="shared" ref="F205:G205" si="41">F206</f>
        <v>19439657</v>
      </c>
      <c r="G205" s="1171">
        <f t="shared" si="41"/>
        <v>11689798</v>
      </c>
      <c r="H205" s="1172">
        <f t="shared" ref="H205:H274" si="42">G205/F205</f>
        <v>0.60133766763477359</v>
      </c>
    </row>
    <row r="206" spans="1:8" ht="17.100000000000001" customHeight="1">
      <c r="A206" s="1057"/>
      <c r="B206" s="1173" t="s">
        <v>294</v>
      </c>
      <c r="C206" s="1174"/>
      <c r="D206" s="1175" t="s">
        <v>295</v>
      </c>
      <c r="E206" s="1176">
        <f>E207+E227</f>
        <v>29390820</v>
      </c>
      <c r="F206" s="1176">
        <f t="shared" ref="F206:G206" si="43">F207+F227</f>
        <v>19439657</v>
      </c>
      <c r="G206" s="1176">
        <f t="shared" si="43"/>
        <v>11689798</v>
      </c>
      <c r="H206" s="1177">
        <f t="shared" si="42"/>
        <v>0.60133766763477359</v>
      </c>
    </row>
    <row r="207" spans="1:8" ht="17.100000000000001" customHeight="1">
      <c r="A207" s="1057"/>
      <c r="B207" s="2324"/>
      <c r="C207" s="2323" t="s">
        <v>560</v>
      </c>
      <c r="D207" s="2323"/>
      <c r="E207" s="1083">
        <f>E208+E214</f>
        <v>13881008</v>
      </c>
      <c r="F207" s="1083">
        <f>F208+F214</f>
        <v>13202141</v>
      </c>
      <c r="G207" s="1083">
        <f t="shared" ref="G207" si="44">G208+G214</f>
        <v>5467812</v>
      </c>
      <c r="H207" s="1084">
        <f t="shared" si="42"/>
        <v>0.41416100615801632</v>
      </c>
    </row>
    <row r="208" spans="1:8" ht="17.100000000000001" customHeight="1">
      <c r="A208" s="1057"/>
      <c r="B208" s="2258"/>
      <c r="C208" s="2276" t="s">
        <v>647</v>
      </c>
      <c r="D208" s="2276"/>
      <c r="E208" s="1079">
        <f>SUM(E209:E212)</f>
        <v>5262008</v>
      </c>
      <c r="F208" s="1079">
        <f>SUM(F209:F212)</f>
        <v>4543097</v>
      </c>
      <c r="G208" s="1079">
        <f t="shared" ref="G208" si="45">SUM(G209:G212)</f>
        <v>4470377</v>
      </c>
      <c r="H208" s="1080">
        <f t="shared" si="42"/>
        <v>0.98399329796392199</v>
      </c>
    </row>
    <row r="209" spans="1:8" ht="51">
      <c r="A209" s="1057"/>
      <c r="B209" s="2258"/>
      <c r="C209" s="1096" t="s">
        <v>508</v>
      </c>
      <c r="D209" s="1097" t="s">
        <v>665</v>
      </c>
      <c r="E209" s="1183">
        <v>4981211</v>
      </c>
      <c r="F209" s="1183">
        <v>4052630</v>
      </c>
      <c r="G209" s="1183">
        <v>3979915</v>
      </c>
      <c r="H209" s="1184">
        <f t="shared" si="42"/>
        <v>0.98205733067168732</v>
      </c>
    </row>
    <row r="210" spans="1:8" ht="51">
      <c r="A210" s="1057"/>
      <c r="B210" s="2258"/>
      <c r="C210" s="1087" t="s">
        <v>359</v>
      </c>
      <c r="D210" s="1088" t="s">
        <v>619</v>
      </c>
      <c r="E210" s="1185">
        <v>280797</v>
      </c>
      <c r="F210" s="1185">
        <v>0</v>
      </c>
      <c r="G210" s="1185">
        <v>0</v>
      </c>
      <c r="H210" s="1186"/>
    </row>
    <row r="211" spans="1:8" ht="38.25">
      <c r="A211" s="1057"/>
      <c r="B211" s="1093"/>
      <c r="C211" s="1187" t="s">
        <v>474</v>
      </c>
      <c r="D211" s="1188" t="s">
        <v>666</v>
      </c>
      <c r="E211" s="1189">
        <v>0</v>
      </c>
      <c r="F211" s="1189">
        <v>9168</v>
      </c>
      <c r="G211" s="1189">
        <v>9166</v>
      </c>
      <c r="H211" s="1190">
        <f t="shared" si="42"/>
        <v>0.99978184991273999</v>
      </c>
    </row>
    <row r="212" spans="1:8" ht="16.5" customHeight="1">
      <c r="A212" s="1057"/>
      <c r="B212" s="1093"/>
      <c r="C212" s="1191" t="s">
        <v>476</v>
      </c>
      <c r="D212" s="1192" t="s">
        <v>613</v>
      </c>
      <c r="E212" s="1189">
        <v>0</v>
      </c>
      <c r="F212" s="1189">
        <v>481299</v>
      </c>
      <c r="G212" s="1189">
        <v>481296</v>
      </c>
      <c r="H212" s="1190">
        <f t="shared" si="42"/>
        <v>0.99999376686841235</v>
      </c>
    </row>
    <row r="213" spans="1:8" ht="17.100000000000001" customHeight="1">
      <c r="A213" s="1057"/>
      <c r="B213" s="1093"/>
      <c r="C213" s="1193"/>
      <c r="D213" s="1194"/>
      <c r="E213" s="1121"/>
      <c r="F213" s="1121"/>
      <c r="G213" s="1121"/>
      <c r="H213" s="1122"/>
    </row>
    <row r="214" spans="1:8" ht="17.100000000000001" customHeight="1">
      <c r="A214" s="1057"/>
      <c r="B214" s="1093"/>
      <c r="C214" s="2186" t="s">
        <v>616</v>
      </c>
      <c r="D214" s="2186"/>
      <c r="E214" s="1195">
        <f>SUM(E215:E225)</f>
        <v>8619000</v>
      </c>
      <c r="F214" s="1195">
        <f t="shared" ref="F214:G214" si="46">SUM(F215:F225)</f>
        <v>8659044</v>
      </c>
      <c r="G214" s="1195">
        <f t="shared" si="46"/>
        <v>997435</v>
      </c>
      <c r="H214" s="1196">
        <f t="shared" si="42"/>
        <v>0.11518996785326417</v>
      </c>
    </row>
    <row r="215" spans="1:8" ht="52.5" customHeight="1">
      <c r="A215" s="1057"/>
      <c r="B215" s="1093"/>
      <c r="C215" s="1087" t="s">
        <v>519</v>
      </c>
      <c r="D215" s="1151" t="s">
        <v>665</v>
      </c>
      <c r="E215" s="1197">
        <v>8216400</v>
      </c>
      <c r="F215" s="1197">
        <v>8216400</v>
      </c>
      <c r="G215" s="1197">
        <v>779783</v>
      </c>
      <c r="H215" s="1198">
        <f t="shared" si="42"/>
        <v>9.4905676451974105E-2</v>
      </c>
    </row>
    <row r="216" spans="1:8" ht="16.5" customHeight="1">
      <c r="A216" s="1057"/>
      <c r="B216" s="1093"/>
      <c r="C216" s="1087" t="s">
        <v>667</v>
      </c>
      <c r="D216" s="1088" t="s">
        <v>613</v>
      </c>
      <c r="E216" s="1127">
        <v>0</v>
      </c>
      <c r="F216" s="1127">
        <v>40000</v>
      </c>
      <c r="G216" s="1127">
        <v>40000</v>
      </c>
      <c r="H216" s="1128">
        <f t="shared" si="42"/>
        <v>1</v>
      </c>
    </row>
    <row r="217" spans="1:8" ht="17.100000000000001" customHeight="1">
      <c r="A217" s="1057"/>
      <c r="B217" s="1093"/>
      <c r="C217" s="1157" t="s">
        <v>668</v>
      </c>
      <c r="D217" s="1158" t="s">
        <v>563</v>
      </c>
      <c r="E217" s="1197">
        <v>132187</v>
      </c>
      <c r="F217" s="1197">
        <v>132187</v>
      </c>
      <c r="G217" s="1197">
        <v>81623</v>
      </c>
      <c r="H217" s="1198">
        <f t="shared" si="42"/>
        <v>0.61748129543752406</v>
      </c>
    </row>
    <row r="218" spans="1:8" ht="17.100000000000001" customHeight="1">
      <c r="A218" s="1057"/>
      <c r="B218" s="1093"/>
      <c r="C218" s="1096" t="s">
        <v>669</v>
      </c>
      <c r="D218" s="1158" t="s">
        <v>566</v>
      </c>
      <c r="E218" s="1197">
        <v>22974</v>
      </c>
      <c r="F218" s="1197">
        <v>22974</v>
      </c>
      <c r="G218" s="1197">
        <v>13826</v>
      </c>
      <c r="H218" s="1198">
        <f t="shared" si="42"/>
        <v>0.60181074257856704</v>
      </c>
    </row>
    <row r="219" spans="1:8" ht="17.100000000000001" customHeight="1">
      <c r="A219" s="1057"/>
      <c r="B219" s="1093"/>
      <c r="C219" s="1096" t="s">
        <v>670</v>
      </c>
      <c r="D219" s="1097" t="s">
        <v>567</v>
      </c>
      <c r="E219" s="1197">
        <v>3239</v>
      </c>
      <c r="F219" s="1197">
        <v>3239</v>
      </c>
      <c r="G219" s="1197">
        <v>1949</v>
      </c>
      <c r="H219" s="1198">
        <f t="shared" si="42"/>
        <v>0.60172892868169192</v>
      </c>
    </row>
    <row r="220" spans="1:8" ht="17.100000000000001" customHeight="1">
      <c r="A220" s="1057"/>
      <c r="B220" s="1093"/>
      <c r="C220" s="1096" t="s">
        <v>671</v>
      </c>
      <c r="D220" s="1097" t="s">
        <v>573</v>
      </c>
      <c r="E220" s="1197">
        <v>0</v>
      </c>
      <c r="F220" s="1197">
        <v>32718</v>
      </c>
      <c r="G220" s="1197">
        <v>32718</v>
      </c>
      <c r="H220" s="1198">
        <f t="shared" si="42"/>
        <v>1</v>
      </c>
    </row>
    <row r="221" spans="1:8" ht="17.100000000000001" customHeight="1">
      <c r="A221" s="1057"/>
      <c r="B221" s="1093"/>
      <c r="C221" s="1096" t="s">
        <v>25</v>
      </c>
      <c r="D221" s="1097" t="s">
        <v>581</v>
      </c>
      <c r="E221" s="1197">
        <v>0</v>
      </c>
      <c r="F221" s="1197">
        <v>33</v>
      </c>
      <c r="G221" s="1197">
        <v>32</v>
      </c>
      <c r="H221" s="1198">
        <f t="shared" si="42"/>
        <v>0.96969696969696972</v>
      </c>
    </row>
    <row r="222" spans="1:8" ht="17.100000000000001" customHeight="1">
      <c r="A222" s="1057"/>
      <c r="B222" s="1093"/>
      <c r="C222" s="1096" t="s">
        <v>672</v>
      </c>
      <c r="D222" s="1097" t="s">
        <v>581</v>
      </c>
      <c r="E222" s="1197">
        <v>221000</v>
      </c>
      <c r="F222" s="1197">
        <v>188282</v>
      </c>
      <c r="G222" s="1197">
        <v>47493</v>
      </c>
      <c r="H222" s="1198">
        <f t="shared" si="42"/>
        <v>0.25224397446383617</v>
      </c>
    </row>
    <row r="223" spans="1:8" ht="17.100000000000001" customHeight="1">
      <c r="A223" s="1057"/>
      <c r="B223" s="1093"/>
      <c r="C223" s="1096" t="s">
        <v>673</v>
      </c>
      <c r="D223" s="1097" t="s">
        <v>588</v>
      </c>
      <c r="E223" s="1197">
        <v>7200</v>
      </c>
      <c r="F223" s="1197">
        <v>7200</v>
      </c>
      <c r="G223" s="1197">
        <v>0</v>
      </c>
      <c r="H223" s="1198">
        <f t="shared" si="42"/>
        <v>0</v>
      </c>
    </row>
    <row r="224" spans="1:8" ht="38.25" customHeight="1">
      <c r="A224" s="1057"/>
      <c r="B224" s="1093"/>
      <c r="C224" s="1096" t="s">
        <v>662</v>
      </c>
      <c r="D224" s="1097" t="s">
        <v>663</v>
      </c>
      <c r="E224" s="1197">
        <v>0</v>
      </c>
      <c r="F224" s="1197">
        <v>11</v>
      </c>
      <c r="G224" s="1197">
        <v>11</v>
      </c>
      <c r="H224" s="1198">
        <f t="shared" si="42"/>
        <v>1</v>
      </c>
    </row>
    <row r="225" spans="1:8" ht="17.100000000000001" customHeight="1">
      <c r="A225" s="1057"/>
      <c r="B225" s="1093"/>
      <c r="C225" s="1096" t="s">
        <v>674</v>
      </c>
      <c r="D225" s="1097" t="s">
        <v>601</v>
      </c>
      <c r="E225" s="1197">
        <v>16000</v>
      </c>
      <c r="F225" s="1197">
        <v>16000</v>
      </c>
      <c r="G225" s="1197">
        <v>0</v>
      </c>
      <c r="H225" s="1198">
        <f t="shared" si="42"/>
        <v>0</v>
      </c>
    </row>
    <row r="226" spans="1:8" ht="17.100000000000001" customHeight="1">
      <c r="A226" s="1057"/>
      <c r="B226" s="1093"/>
      <c r="C226" s="2321"/>
      <c r="D226" s="2321"/>
      <c r="E226" s="1199"/>
      <c r="F226" s="1199"/>
      <c r="G226" s="1199"/>
      <c r="H226" s="1200"/>
    </row>
    <row r="227" spans="1:8" ht="17.100000000000001" customHeight="1">
      <c r="A227" s="1057"/>
      <c r="B227" s="1093"/>
      <c r="C227" s="2148" t="s">
        <v>605</v>
      </c>
      <c r="D227" s="2148"/>
      <c r="E227" s="1063">
        <f t="shared" ref="E227:G227" si="47">E228</f>
        <v>15509812</v>
      </c>
      <c r="F227" s="1063">
        <f t="shared" si="47"/>
        <v>6237516</v>
      </c>
      <c r="G227" s="1063">
        <f t="shared" si="47"/>
        <v>6221986</v>
      </c>
      <c r="H227" s="1064">
        <f t="shared" si="42"/>
        <v>0.99751022682747426</v>
      </c>
    </row>
    <row r="228" spans="1:8" ht="17.100000000000001" customHeight="1">
      <c r="A228" s="1057"/>
      <c r="B228" s="1093"/>
      <c r="C228" s="2300" t="s">
        <v>606</v>
      </c>
      <c r="D228" s="2272"/>
      <c r="E228" s="1079">
        <f>SUM(E229:E237)</f>
        <v>15509812</v>
      </c>
      <c r="F228" s="1079">
        <f t="shared" ref="F228:G228" si="48">SUM(F229:F237)</f>
        <v>6237516</v>
      </c>
      <c r="G228" s="1079">
        <f t="shared" si="48"/>
        <v>6221986</v>
      </c>
      <c r="H228" s="1080">
        <f t="shared" si="42"/>
        <v>0.99751022682747426</v>
      </c>
    </row>
    <row r="229" spans="1:8">
      <c r="A229" s="1057"/>
      <c r="B229" s="1093"/>
      <c r="C229" s="1201" t="s">
        <v>675</v>
      </c>
      <c r="D229" s="1097" t="s">
        <v>650</v>
      </c>
      <c r="E229" s="1079">
        <v>41000</v>
      </c>
      <c r="F229" s="1079">
        <v>15529</v>
      </c>
      <c r="G229" s="1079">
        <v>0</v>
      </c>
      <c r="H229" s="1080">
        <f t="shared" si="42"/>
        <v>0</v>
      </c>
    </row>
    <row r="230" spans="1:8" ht="54" customHeight="1">
      <c r="A230" s="1057"/>
      <c r="B230" s="1093"/>
      <c r="C230" s="1201" t="s">
        <v>676</v>
      </c>
      <c r="D230" s="1097" t="s">
        <v>677</v>
      </c>
      <c r="E230" s="1079">
        <v>0</v>
      </c>
      <c r="F230" s="1079">
        <v>275471</v>
      </c>
      <c r="G230" s="1079">
        <v>275470</v>
      </c>
      <c r="H230" s="1080">
        <f t="shared" si="42"/>
        <v>0.99999636985381402</v>
      </c>
    </row>
    <row r="231" spans="1:8" ht="52.5" customHeight="1">
      <c r="A231" s="1057"/>
      <c r="B231" s="1093"/>
      <c r="C231" s="1201" t="s">
        <v>678</v>
      </c>
      <c r="D231" s="1097" t="s">
        <v>677</v>
      </c>
      <c r="E231" s="1079">
        <v>12968812</v>
      </c>
      <c r="F231" s="1079">
        <v>5696516</v>
      </c>
      <c r="G231" s="1079">
        <v>5696516</v>
      </c>
      <c r="H231" s="1080">
        <f t="shared" si="42"/>
        <v>1</v>
      </c>
    </row>
    <row r="232" spans="1:8" ht="51">
      <c r="A232" s="1057"/>
      <c r="B232" s="1069"/>
      <c r="C232" s="1125" t="s">
        <v>679</v>
      </c>
      <c r="D232" s="1143" t="s">
        <v>680</v>
      </c>
      <c r="E232" s="1079">
        <v>2500000</v>
      </c>
      <c r="F232" s="1079">
        <v>0</v>
      </c>
      <c r="G232" s="1079">
        <v>0</v>
      </c>
      <c r="H232" s="1080"/>
    </row>
    <row r="233" spans="1:8" ht="17.100000000000001" hidden="1" customHeight="1">
      <c r="A233" s="1057"/>
      <c r="B233" s="1202"/>
      <c r="C233" s="1203"/>
      <c r="D233" s="1204" t="s">
        <v>681</v>
      </c>
      <c r="E233" s="1205"/>
      <c r="F233" s="1205"/>
      <c r="G233" s="1205"/>
      <c r="H233" s="1206" t="e">
        <f t="shared" si="42"/>
        <v>#DIV/0!</v>
      </c>
    </row>
    <row r="234" spans="1:8" ht="17.100000000000001" hidden="1" customHeight="1">
      <c r="A234" s="1057"/>
      <c r="B234" s="2258"/>
      <c r="C234" s="2323" t="s">
        <v>560</v>
      </c>
      <c r="D234" s="2323"/>
      <c r="E234" s="1083"/>
      <c r="F234" s="1083"/>
      <c r="G234" s="1083"/>
      <c r="H234" s="1084" t="e">
        <f t="shared" si="42"/>
        <v>#DIV/0!</v>
      </c>
    </row>
    <row r="235" spans="1:8" ht="17.100000000000001" hidden="1" customHeight="1">
      <c r="A235" s="1057"/>
      <c r="B235" s="2258"/>
      <c r="C235" s="2276" t="s">
        <v>647</v>
      </c>
      <c r="D235" s="2276"/>
      <c r="E235" s="1079"/>
      <c r="F235" s="1079"/>
      <c r="G235" s="1079"/>
      <c r="H235" s="1080" t="e">
        <f t="shared" si="42"/>
        <v>#DIV/0!</v>
      </c>
    </row>
    <row r="236" spans="1:8" ht="40.5" hidden="1" customHeight="1">
      <c r="A236" s="1057"/>
      <c r="B236" s="2322"/>
      <c r="C236" s="1096" t="s">
        <v>508</v>
      </c>
      <c r="D236" s="1097" t="s">
        <v>682</v>
      </c>
      <c r="E236" s="1079"/>
      <c r="F236" s="1079"/>
      <c r="G236" s="1079"/>
      <c r="H236" s="1080" t="e">
        <f t="shared" si="42"/>
        <v>#DIV/0!</v>
      </c>
    </row>
    <row r="237" spans="1:8" ht="15" customHeight="1">
      <c r="A237" s="1057"/>
      <c r="B237" s="1093"/>
      <c r="C237" s="1161" t="s">
        <v>683</v>
      </c>
      <c r="D237" s="1162" t="s">
        <v>613</v>
      </c>
      <c r="E237" s="1079">
        <v>0</v>
      </c>
      <c r="F237" s="1079">
        <v>250000</v>
      </c>
      <c r="G237" s="1079">
        <v>250000</v>
      </c>
      <c r="H237" s="1080">
        <f t="shared" si="42"/>
        <v>1</v>
      </c>
    </row>
    <row r="238" spans="1:8">
      <c r="A238" s="1057"/>
      <c r="B238" s="1093"/>
      <c r="C238" s="1207"/>
      <c r="D238" s="1162"/>
      <c r="E238" s="1079"/>
      <c r="F238" s="1079"/>
      <c r="G238" s="1079"/>
      <c r="H238" s="1080"/>
    </row>
    <row r="239" spans="1:8" ht="15">
      <c r="A239" s="1057"/>
      <c r="B239" s="1093"/>
      <c r="C239" s="2278" t="s">
        <v>614</v>
      </c>
      <c r="D239" s="2286"/>
      <c r="E239" s="1079">
        <f>SUM(E240:E242)</f>
        <v>41000</v>
      </c>
      <c r="F239" s="1079">
        <f>SUM(F240:F242)</f>
        <v>541000</v>
      </c>
      <c r="G239" s="1079">
        <f t="shared" ref="G239" si="49">SUM(G240:G242)</f>
        <v>525470</v>
      </c>
      <c r="H239" s="1080">
        <f t="shared" si="42"/>
        <v>0.97129390018484285</v>
      </c>
    </row>
    <row r="240" spans="1:8">
      <c r="A240" s="1057"/>
      <c r="B240" s="1093"/>
      <c r="C240" s="1201" t="s">
        <v>675</v>
      </c>
      <c r="D240" s="1097" t="s">
        <v>650</v>
      </c>
      <c r="E240" s="1185">
        <v>41000</v>
      </c>
      <c r="F240" s="1185">
        <v>15529</v>
      </c>
      <c r="G240" s="1185">
        <v>0</v>
      </c>
      <c r="H240" s="1186">
        <f t="shared" si="42"/>
        <v>0</v>
      </c>
    </row>
    <row r="241" spans="1:8" ht="51">
      <c r="A241" s="1057"/>
      <c r="B241" s="1093"/>
      <c r="C241" s="1201" t="s">
        <v>676</v>
      </c>
      <c r="D241" s="1097" t="s">
        <v>677</v>
      </c>
      <c r="E241" s="1079">
        <v>0</v>
      </c>
      <c r="F241" s="1079">
        <v>275471</v>
      </c>
      <c r="G241" s="1079">
        <v>275470</v>
      </c>
      <c r="H241" s="1186">
        <f t="shared" si="42"/>
        <v>0.99999636985381402</v>
      </c>
    </row>
    <row r="242" spans="1:8" ht="13.5" thickBot="1">
      <c r="A242" s="1057"/>
      <c r="B242" s="1093"/>
      <c r="C242" s="1161" t="s">
        <v>683</v>
      </c>
      <c r="D242" s="1162" t="s">
        <v>613</v>
      </c>
      <c r="E242" s="1081">
        <v>0</v>
      </c>
      <c r="F242" s="1081">
        <v>250000</v>
      </c>
      <c r="G242" s="1081">
        <v>250000</v>
      </c>
      <c r="H242" s="1186">
        <f t="shared" si="42"/>
        <v>1</v>
      </c>
    </row>
    <row r="243" spans="1:8" ht="17.100000000000001" customHeight="1" thickBot="1">
      <c r="A243" s="1051" t="s">
        <v>684</v>
      </c>
      <c r="B243" s="1168"/>
      <c r="C243" s="1169"/>
      <c r="D243" s="1170" t="s">
        <v>685</v>
      </c>
      <c r="E243" s="1171">
        <f t="shared" ref="E243:G245" si="50">E244</f>
        <v>242532</v>
      </c>
      <c r="F243" s="1171">
        <f t="shared" si="50"/>
        <v>242532</v>
      </c>
      <c r="G243" s="1171">
        <f t="shared" si="50"/>
        <v>236200</v>
      </c>
      <c r="H243" s="1172">
        <f t="shared" si="42"/>
        <v>0.97389210495934553</v>
      </c>
    </row>
    <row r="244" spans="1:8" ht="17.100000000000001" customHeight="1" thickBot="1">
      <c r="A244" s="1057"/>
      <c r="B244" s="1144" t="s">
        <v>686</v>
      </c>
      <c r="C244" s="1145"/>
      <c r="D244" s="1146" t="s">
        <v>687</v>
      </c>
      <c r="E244" s="1147">
        <f t="shared" si="50"/>
        <v>242532</v>
      </c>
      <c r="F244" s="1147">
        <f t="shared" si="50"/>
        <v>242532</v>
      </c>
      <c r="G244" s="1147">
        <f t="shared" si="50"/>
        <v>236200</v>
      </c>
      <c r="H244" s="1148">
        <f t="shared" si="42"/>
        <v>0.97389210495934553</v>
      </c>
    </row>
    <row r="245" spans="1:8" ht="17.100000000000001" customHeight="1">
      <c r="A245" s="1057"/>
      <c r="B245" s="2258"/>
      <c r="C245" s="2112" t="s">
        <v>560</v>
      </c>
      <c r="D245" s="2112"/>
      <c r="E245" s="1063">
        <f t="shared" si="50"/>
        <v>242532</v>
      </c>
      <c r="F245" s="1063">
        <f t="shared" si="50"/>
        <v>242532</v>
      </c>
      <c r="G245" s="1063">
        <f t="shared" si="50"/>
        <v>236200</v>
      </c>
      <c r="H245" s="1064">
        <f t="shared" si="42"/>
        <v>0.97389210495934553</v>
      </c>
    </row>
    <row r="246" spans="1:8" ht="17.100000000000001" customHeight="1">
      <c r="A246" s="1057"/>
      <c r="B246" s="2258"/>
      <c r="C246" s="2317" t="s">
        <v>561</v>
      </c>
      <c r="D246" s="2318"/>
      <c r="E246" s="1079">
        <f>E247+E253</f>
        <v>242532</v>
      </c>
      <c r="F246" s="1079">
        <f t="shared" ref="F246:G246" si="51">F247+F253</f>
        <v>242532</v>
      </c>
      <c r="G246" s="1079">
        <f t="shared" si="51"/>
        <v>236200</v>
      </c>
      <c r="H246" s="1080">
        <f t="shared" si="42"/>
        <v>0.97389210495934553</v>
      </c>
    </row>
    <row r="247" spans="1:8" ht="17.100000000000001" customHeight="1">
      <c r="A247" s="1057"/>
      <c r="B247" s="2258"/>
      <c r="C247" s="2319" t="s">
        <v>562</v>
      </c>
      <c r="D247" s="2320"/>
      <c r="E247" s="1115">
        <f>SUM(E248:E251)</f>
        <v>238032</v>
      </c>
      <c r="F247" s="1115">
        <f t="shared" ref="F247:G247" si="52">SUM(F248:F251)</f>
        <v>238032</v>
      </c>
      <c r="G247" s="1115">
        <f t="shared" si="52"/>
        <v>234113</v>
      </c>
      <c r="H247" s="1116">
        <f t="shared" si="42"/>
        <v>0.98353582711568188</v>
      </c>
    </row>
    <row r="248" spans="1:8" ht="17.100000000000001" customHeight="1">
      <c r="A248" s="1057"/>
      <c r="B248" s="2258"/>
      <c r="C248" s="1157" t="s">
        <v>145</v>
      </c>
      <c r="D248" s="1158" t="s">
        <v>563</v>
      </c>
      <c r="E248" s="1079">
        <v>181013</v>
      </c>
      <c r="F248" s="1079">
        <v>185513</v>
      </c>
      <c r="G248" s="1079">
        <v>184684</v>
      </c>
      <c r="H248" s="1080">
        <f t="shared" si="42"/>
        <v>0.99553131047419863</v>
      </c>
    </row>
    <row r="249" spans="1:8" ht="17.100000000000001" customHeight="1">
      <c r="A249" s="1057"/>
      <c r="B249" s="2258"/>
      <c r="C249" s="1157" t="s">
        <v>564</v>
      </c>
      <c r="D249" s="1097" t="s">
        <v>565</v>
      </c>
      <c r="E249" s="1079">
        <v>14380</v>
      </c>
      <c r="F249" s="1079">
        <v>14380</v>
      </c>
      <c r="G249" s="1079">
        <v>13802</v>
      </c>
      <c r="H249" s="1080">
        <f t="shared" si="42"/>
        <v>0.95980528511821972</v>
      </c>
    </row>
    <row r="250" spans="1:8" ht="17.100000000000001" customHeight="1">
      <c r="A250" s="1057"/>
      <c r="B250" s="2258"/>
      <c r="C250" s="1157" t="s">
        <v>146</v>
      </c>
      <c r="D250" s="1158" t="s">
        <v>566</v>
      </c>
      <c r="E250" s="1079">
        <v>37210</v>
      </c>
      <c r="F250" s="1079">
        <v>34210</v>
      </c>
      <c r="G250" s="1079">
        <v>32179</v>
      </c>
      <c r="H250" s="1080">
        <f t="shared" si="42"/>
        <v>0.94063139432914356</v>
      </c>
    </row>
    <row r="251" spans="1:8" ht="14.25" customHeight="1">
      <c r="A251" s="1057"/>
      <c r="B251" s="2258"/>
      <c r="C251" s="1157" t="s">
        <v>147</v>
      </c>
      <c r="D251" s="1097" t="s">
        <v>567</v>
      </c>
      <c r="E251" s="1079">
        <v>5429</v>
      </c>
      <c r="F251" s="1079">
        <v>3929</v>
      </c>
      <c r="G251" s="1079">
        <v>3448</v>
      </c>
      <c r="H251" s="1080">
        <f t="shared" si="42"/>
        <v>0.87757699160091629</v>
      </c>
    </row>
    <row r="252" spans="1:8" ht="14.25" customHeight="1">
      <c r="A252" s="1057"/>
      <c r="B252" s="1093"/>
      <c r="C252" s="1157"/>
      <c r="D252" s="1158"/>
      <c r="E252" s="1079"/>
      <c r="F252" s="1079"/>
      <c r="G252" s="1079"/>
      <c r="H252" s="1080"/>
    </row>
    <row r="253" spans="1:8" ht="14.25" customHeight="1">
      <c r="A253" s="1057"/>
      <c r="B253" s="1093"/>
      <c r="C253" s="2278" t="s">
        <v>570</v>
      </c>
      <c r="D253" s="2278"/>
      <c r="E253" s="1115">
        <f>SUM(E254:E255)</f>
        <v>4500</v>
      </c>
      <c r="F253" s="1115">
        <f t="shared" ref="F253:G253" si="53">SUM(F254:F255)</f>
        <v>4500</v>
      </c>
      <c r="G253" s="1115">
        <f t="shared" si="53"/>
        <v>2087</v>
      </c>
      <c r="H253" s="1116">
        <f t="shared" si="42"/>
        <v>0.46377777777777779</v>
      </c>
    </row>
    <row r="254" spans="1:8" ht="14.25" customHeight="1">
      <c r="A254" s="1057"/>
      <c r="B254" s="1093"/>
      <c r="C254" s="1096" t="s">
        <v>143</v>
      </c>
      <c r="D254" s="1097" t="s">
        <v>573</v>
      </c>
      <c r="E254" s="1115">
        <v>0</v>
      </c>
      <c r="F254" s="1079">
        <v>4500</v>
      </c>
      <c r="G254" s="1079">
        <v>2087</v>
      </c>
      <c r="H254" s="1080">
        <f t="shared" si="42"/>
        <v>0.46377777777777779</v>
      </c>
    </row>
    <row r="255" spans="1:8" ht="13.5" thickBot="1">
      <c r="A255" s="1208"/>
      <c r="B255" s="1209"/>
      <c r="C255" s="1096" t="s">
        <v>25</v>
      </c>
      <c r="D255" s="1097" t="s">
        <v>581</v>
      </c>
      <c r="E255" s="1079">
        <v>4500</v>
      </c>
      <c r="F255" s="1079">
        <v>0</v>
      </c>
      <c r="G255" s="1079">
        <v>0</v>
      </c>
      <c r="H255" s="1080"/>
    </row>
    <row r="256" spans="1:8" ht="17.100000000000001" customHeight="1" thickBot="1">
      <c r="A256" s="1051" t="s">
        <v>13</v>
      </c>
      <c r="B256" s="1168"/>
      <c r="C256" s="1169"/>
      <c r="D256" s="1170" t="s">
        <v>688</v>
      </c>
      <c r="E256" s="1171">
        <f>SUM(E257,E280,E301,E310,E315,E373,E389,E381,E385)</f>
        <v>908040055</v>
      </c>
      <c r="F256" s="1171">
        <f t="shared" ref="F256:G256" si="54">SUM(F257,F280,F301,F310,F315,F373,F389,F381,F385)</f>
        <v>681555052</v>
      </c>
      <c r="G256" s="1171">
        <f t="shared" si="54"/>
        <v>642787128</v>
      </c>
      <c r="H256" s="1172">
        <f t="shared" si="42"/>
        <v>0.94311842618400843</v>
      </c>
    </row>
    <row r="257" spans="1:8" ht="17.100000000000001" customHeight="1" thickBot="1">
      <c r="A257" s="1057"/>
      <c r="B257" s="1144" t="s">
        <v>128</v>
      </c>
      <c r="C257" s="1145"/>
      <c r="D257" s="1146" t="s">
        <v>129</v>
      </c>
      <c r="E257" s="1147">
        <f>E258+E270</f>
        <v>178235787</v>
      </c>
      <c r="F257" s="1147">
        <f t="shared" ref="F257:G257" si="55">F258+F270</f>
        <v>172053381</v>
      </c>
      <c r="G257" s="1147">
        <f t="shared" si="55"/>
        <v>167603729</v>
      </c>
      <c r="H257" s="1148">
        <f t="shared" si="42"/>
        <v>0.97413795663800407</v>
      </c>
    </row>
    <row r="258" spans="1:8" ht="17.100000000000001" customHeight="1">
      <c r="A258" s="1057"/>
      <c r="B258" s="2315"/>
      <c r="C258" s="2112" t="s">
        <v>560</v>
      </c>
      <c r="D258" s="2112"/>
      <c r="E258" s="1063">
        <f>E259+E266</f>
        <v>62885693</v>
      </c>
      <c r="F258" s="1063">
        <f t="shared" ref="F258:G258" si="56">F259+F266</f>
        <v>64551381</v>
      </c>
      <c r="G258" s="1063">
        <f t="shared" si="56"/>
        <v>61334729</v>
      </c>
      <c r="H258" s="1064">
        <f t="shared" si="42"/>
        <v>0.95016912186588232</v>
      </c>
    </row>
    <row r="259" spans="1:8" ht="17.100000000000001" customHeight="1">
      <c r="A259" s="1057"/>
      <c r="B259" s="2315"/>
      <c r="C259" s="2276" t="s">
        <v>561</v>
      </c>
      <c r="D259" s="2276"/>
      <c r="E259" s="1079">
        <f>E260</f>
        <v>190942</v>
      </c>
      <c r="F259" s="1079">
        <f t="shared" ref="F259:G259" si="57">F260</f>
        <v>97955</v>
      </c>
      <c r="G259" s="1079">
        <f t="shared" si="57"/>
        <v>17390</v>
      </c>
      <c r="H259" s="1080">
        <f t="shared" si="42"/>
        <v>0.17753049869838192</v>
      </c>
    </row>
    <row r="260" spans="1:8" ht="17.100000000000001" customHeight="1">
      <c r="A260" s="1057"/>
      <c r="B260" s="2315"/>
      <c r="C260" s="2278" t="s">
        <v>570</v>
      </c>
      <c r="D260" s="2278"/>
      <c r="E260" s="1115">
        <f>SUM(E261:E264)</f>
        <v>190942</v>
      </c>
      <c r="F260" s="1115">
        <f t="shared" ref="F260:G260" si="58">SUM(F261:F264)</f>
        <v>97955</v>
      </c>
      <c r="G260" s="1115">
        <f t="shared" si="58"/>
        <v>17390</v>
      </c>
      <c r="H260" s="1116">
        <f t="shared" si="42"/>
        <v>0.17753049869838192</v>
      </c>
    </row>
    <row r="261" spans="1:8" ht="17.100000000000001" customHeight="1">
      <c r="A261" s="1057"/>
      <c r="B261" s="2315"/>
      <c r="C261" s="1096" t="s">
        <v>24</v>
      </c>
      <c r="D261" s="1097" t="s">
        <v>578</v>
      </c>
      <c r="E261" s="1079">
        <v>170342</v>
      </c>
      <c r="F261" s="1079">
        <v>47355</v>
      </c>
      <c r="G261" s="1079">
        <v>0</v>
      </c>
      <c r="H261" s="1080">
        <f t="shared" si="42"/>
        <v>0</v>
      </c>
    </row>
    <row r="262" spans="1:8" ht="17.100000000000001" customHeight="1">
      <c r="A262" s="1057"/>
      <c r="B262" s="2315"/>
      <c r="C262" s="1096" t="s">
        <v>164</v>
      </c>
      <c r="D262" s="1097" t="s">
        <v>584</v>
      </c>
      <c r="E262" s="1079">
        <v>20600</v>
      </c>
      <c r="F262" s="1079">
        <v>20488</v>
      </c>
      <c r="G262" s="1079">
        <v>0</v>
      </c>
      <c r="H262" s="1080">
        <f t="shared" si="42"/>
        <v>0</v>
      </c>
    </row>
    <row r="263" spans="1:8" ht="17.100000000000001" customHeight="1">
      <c r="A263" s="1057"/>
      <c r="B263" s="2315"/>
      <c r="C263" s="1210" t="s">
        <v>689</v>
      </c>
      <c r="D263" s="1211" t="s">
        <v>690</v>
      </c>
      <c r="E263" s="1103">
        <v>0</v>
      </c>
      <c r="F263" s="1103">
        <v>112</v>
      </c>
      <c r="G263" s="1103">
        <v>41</v>
      </c>
      <c r="H263" s="1080">
        <f t="shared" si="42"/>
        <v>0.36607142857142855</v>
      </c>
    </row>
    <row r="264" spans="1:8" ht="17.100000000000001" customHeight="1">
      <c r="A264" s="1057"/>
      <c r="B264" s="2315"/>
      <c r="C264" s="1134" t="s">
        <v>608</v>
      </c>
      <c r="D264" s="1212" t="s">
        <v>609</v>
      </c>
      <c r="E264" s="1103">
        <v>0</v>
      </c>
      <c r="F264" s="1103">
        <v>30000</v>
      </c>
      <c r="G264" s="1103">
        <v>17349</v>
      </c>
      <c r="H264" s="1080">
        <f t="shared" si="42"/>
        <v>0.57830000000000004</v>
      </c>
    </row>
    <row r="265" spans="1:8" ht="17.100000000000001" customHeight="1">
      <c r="A265" s="1057"/>
      <c r="B265" s="2315"/>
      <c r="C265" s="1213"/>
      <c r="D265" s="1214"/>
      <c r="E265" s="1215"/>
      <c r="F265" s="1215"/>
      <c r="G265" s="1215"/>
      <c r="H265" s="1216"/>
    </row>
    <row r="266" spans="1:8" ht="17.100000000000001" customHeight="1">
      <c r="A266" s="1057"/>
      <c r="B266" s="2315"/>
      <c r="C266" s="2186" t="s">
        <v>647</v>
      </c>
      <c r="D266" s="2186"/>
      <c r="E266" s="1103">
        <f>E267+E268</f>
        <v>62694751</v>
      </c>
      <c r="F266" s="1103">
        <f t="shared" ref="F266:G266" si="59">F267+F268</f>
        <v>64453426</v>
      </c>
      <c r="G266" s="1103">
        <f t="shared" si="59"/>
        <v>61317339</v>
      </c>
      <c r="H266" s="1104">
        <f t="shared" si="42"/>
        <v>0.95134336225975014</v>
      </c>
    </row>
    <row r="267" spans="1:8" ht="29.25" customHeight="1">
      <c r="A267" s="1057"/>
      <c r="B267" s="2315"/>
      <c r="C267" s="1159" t="s">
        <v>19</v>
      </c>
      <c r="D267" s="1178" t="s">
        <v>691</v>
      </c>
      <c r="E267" s="1109">
        <v>120000</v>
      </c>
      <c r="F267" s="1109">
        <v>120000</v>
      </c>
      <c r="G267" s="1109">
        <v>38818</v>
      </c>
      <c r="H267" s="1110">
        <f t="shared" si="42"/>
        <v>0.32348333333333334</v>
      </c>
    </row>
    <row r="268" spans="1:8" ht="29.25" customHeight="1">
      <c r="A268" s="1057"/>
      <c r="B268" s="2315"/>
      <c r="C268" s="1096" t="s">
        <v>179</v>
      </c>
      <c r="D268" s="1097" t="s">
        <v>692</v>
      </c>
      <c r="E268" s="1079">
        <v>62574751</v>
      </c>
      <c r="F268" s="1079">
        <v>64333426</v>
      </c>
      <c r="G268" s="1079">
        <v>61278521</v>
      </c>
      <c r="H268" s="1080">
        <f t="shared" si="42"/>
        <v>0.95251449845061886</v>
      </c>
    </row>
    <row r="269" spans="1:8" ht="17.100000000000001" customHeight="1">
      <c r="A269" s="1057"/>
      <c r="B269" s="2315"/>
      <c r="C269" s="1098"/>
      <c r="D269" s="1098"/>
      <c r="E269" s="1075"/>
      <c r="F269" s="1075"/>
      <c r="G269" s="1075"/>
      <c r="H269" s="1076"/>
    </row>
    <row r="270" spans="1:8" ht="17.100000000000001" customHeight="1">
      <c r="A270" s="1057"/>
      <c r="B270" s="2315"/>
      <c r="C270" s="2281" t="s">
        <v>605</v>
      </c>
      <c r="D270" s="2281"/>
      <c r="E270" s="1083">
        <f>E271</f>
        <v>115350094</v>
      </c>
      <c r="F270" s="1083">
        <f t="shared" ref="F270:G270" si="60">F271</f>
        <v>107502000</v>
      </c>
      <c r="G270" s="1083">
        <f t="shared" si="60"/>
        <v>106269000</v>
      </c>
      <c r="H270" s="1084">
        <f t="shared" si="42"/>
        <v>0.98853044594519168</v>
      </c>
    </row>
    <row r="271" spans="1:8" ht="17.100000000000001" customHeight="1">
      <c r="A271" s="1057"/>
      <c r="B271" s="2315"/>
      <c r="C271" s="2272" t="s">
        <v>606</v>
      </c>
      <c r="D271" s="2272"/>
      <c r="E271" s="1079">
        <f>SUM(E272:E274)</f>
        <v>115350094</v>
      </c>
      <c r="F271" s="1079">
        <f t="shared" ref="F271:G271" si="61">SUM(F272:F274)</f>
        <v>107502000</v>
      </c>
      <c r="G271" s="1079">
        <f t="shared" si="61"/>
        <v>106269000</v>
      </c>
      <c r="H271" s="1080">
        <f t="shared" si="42"/>
        <v>0.98853044594519168</v>
      </c>
    </row>
    <row r="272" spans="1:8" ht="17.100000000000001" customHeight="1">
      <c r="A272" s="1057"/>
      <c r="B272" s="2315"/>
      <c r="C272" s="1096" t="s">
        <v>144</v>
      </c>
      <c r="D272" s="1097" t="s">
        <v>650</v>
      </c>
      <c r="E272" s="1079">
        <v>29050094</v>
      </c>
      <c r="F272" s="1079">
        <v>21202000</v>
      </c>
      <c r="G272" s="1079">
        <v>19969000</v>
      </c>
      <c r="H272" s="1080">
        <f t="shared" si="42"/>
        <v>0.9418451089519857</v>
      </c>
    </row>
    <row r="273" spans="1:8" ht="17.100000000000001" customHeight="1">
      <c r="A273" s="1057"/>
      <c r="B273" s="2315"/>
      <c r="C273" s="1096" t="s">
        <v>675</v>
      </c>
      <c r="D273" s="1097" t="s">
        <v>650</v>
      </c>
      <c r="E273" s="1079">
        <v>73355000</v>
      </c>
      <c r="F273" s="1079">
        <v>73355000</v>
      </c>
      <c r="G273" s="1079">
        <v>73355000</v>
      </c>
      <c r="H273" s="1080">
        <f t="shared" si="42"/>
        <v>1</v>
      </c>
    </row>
    <row r="274" spans="1:8" ht="17.100000000000001" customHeight="1">
      <c r="A274" s="1057"/>
      <c r="B274" s="2315"/>
      <c r="C274" s="1096" t="s">
        <v>693</v>
      </c>
      <c r="D274" s="1097" t="s">
        <v>650</v>
      </c>
      <c r="E274" s="1079">
        <v>12945000</v>
      </c>
      <c r="F274" s="1079">
        <v>12945000</v>
      </c>
      <c r="G274" s="1079">
        <v>12945000</v>
      </c>
      <c r="H274" s="1080">
        <f t="shared" si="42"/>
        <v>1</v>
      </c>
    </row>
    <row r="275" spans="1:8" ht="17.100000000000001" customHeight="1">
      <c r="A275" s="1057"/>
      <c r="B275" s="2315"/>
      <c r="C275" s="1098"/>
      <c r="D275" s="1117"/>
      <c r="E275" s="1118"/>
      <c r="F275" s="1118"/>
      <c r="G275" s="1118"/>
      <c r="H275" s="1119"/>
    </row>
    <row r="276" spans="1:8" ht="17.100000000000001" customHeight="1">
      <c r="A276" s="1057"/>
      <c r="B276" s="2315"/>
      <c r="C276" s="2278" t="s">
        <v>614</v>
      </c>
      <c r="D276" s="2286"/>
      <c r="E276" s="1079">
        <f>SUM(E277:E279)</f>
        <v>106149000</v>
      </c>
      <c r="F276" s="1079">
        <f t="shared" ref="F276:G276" si="62">SUM(F277:F279)</f>
        <v>106149000</v>
      </c>
      <c r="G276" s="1079">
        <f t="shared" si="62"/>
        <v>106149000</v>
      </c>
      <c r="H276" s="1080">
        <f t="shared" ref="H276:H344" si="63">G276/F276</f>
        <v>1</v>
      </c>
    </row>
    <row r="277" spans="1:8" ht="17.100000000000001" customHeight="1">
      <c r="A277" s="1057"/>
      <c r="B277" s="2315"/>
      <c r="C277" s="1096" t="s">
        <v>144</v>
      </c>
      <c r="D277" s="1097" t="s">
        <v>650</v>
      </c>
      <c r="E277" s="1079">
        <v>19849000</v>
      </c>
      <c r="F277" s="1079">
        <v>19849000</v>
      </c>
      <c r="G277" s="1079">
        <v>19849000</v>
      </c>
      <c r="H277" s="1080">
        <f t="shared" si="63"/>
        <v>1</v>
      </c>
    </row>
    <row r="278" spans="1:8" ht="17.100000000000001" customHeight="1">
      <c r="A278" s="1057"/>
      <c r="B278" s="2316"/>
      <c r="C278" s="1096" t="s">
        <v>675</v>
      </c>
      <c r="D278" s="1097" t="s">
        <v>650</v>
      </c>
      <c r="E278" s="1079">
        <v>73355000</v>
      </c>
      <c r="F278" s="1079">
        <v>73355000</v>
      </c>
      <c r="G278" s="1079">
        <v>73355000</v>
      </c>
      <c r="H278" s="1080">
        <f t="shared" si="63"/>
        <v>1</v>
      </c>
    </row>
    <row r="279" spans="1:8" ht="17.100000000000001" customHeight="1" thickBot="1">
      <c r="A279" s="1057"/>
      <c r="B279" s="2316"/>
      <c r="C279" s="1087" t="s">
        <v>693</v>
      </c>
      <c r="D279" s="1088" t="s">
        <v>650</v>
      </c>
      <c r="E279" s="1185">
        <v>12945000</v>
      </c>
      <c r="F279" s="1079">
        <v>12945000</v>
      </c>
      <c r="G279" s="1079">
        <v>12945000</v>
      </c>
      <c r="H279" s="1186">
        <f t="shared" si="63"/>
        <v>1</v>
      </c>
    </row>
    <row r="280" spans="1:8" ht="17.100000000000001" customHeight="1" thickBot="1">
      <c r="A280" s="1057"/>
      <c r="B280" s="1144" t="s">
        <v>694</v>
      </c>
      <c r="C280" s="1145"/>
      <c r="D280" s="1146" t="s">
        <v>308</v>
      </c>
      <c r="E280" s="1147">
        <f>E281+E285</f>
        <v>15390424</v>
      </c>
      <c r="F280" s="1147">
        <f t="shared" ref="F280:G280" si="64">F281+F285</f>
        <v>2795933</v>
      </c>
      <c r="G280" s="1147">
        <f t="shared" si="64"/>
        <v>5062</v>
      </c>
      <c r="H280" s="1148">
        <f t="shared" si="63"/>
        <v>1.810486875043143E-3</v>
      </c>
    </row>
    <row r="281" spans="1:8" ht="17.100000000000001" customHeight="1">
      <c r="A281" s="1057"/>
      <c r="B281" s="1217"/>
      <c r="C281" s="2112" t="s">
        <v>560</v>
      </c>
      <c r="D281" s="2112"/>
      <c r="E281" s="1063">
        <f>E282</f>
        <v>0</v>
      </c>
      <c r="F281" s="1063">
        <f t="shared" ref="F281:G283" si="65">F282</f>
        <v>3994</v>
      </c>
      <c r="G281" s="1063">
        <f t="shared" si="65"/>
        <v>3993</v>
      </c>
      <c r="H281" s="1064">
        <f t="shared" si="63"/>
        <v>0.99974962443665494</v>
      </c>
    </row>
    <row r="282" spans="1:8" ht="17.100000000000001" customHeight="1">
      <c r="A282" s="1057"/>
      <c r="B282" s="1217"/>
      <c r="C282" s="2276" t="s">
        <v>561</v>
      </c>
      <c r="D282" s="2276"/>
      <c r="E282" s="1079">
        <f>E283</f>
        <v>0</v>
      </c>
      <c r="F282" s="1079">
        <f t="shared" si="65"/>
        <v>3994</v>
      </c>
      <c r="G282" s="1079">
        <f t="shared" si="65"/>
        <v>3993</v>
      </c>
      <c r="H282" s="1080">
        <f t="shared" si="63"/>
        <v>0.99974962443665494</v>
      </c>
    </row>
    <row r="283" spans="1:8" ht="17.100000000000001" customHeight="1">
      <c r="A283" s="1057"/>
      <c r="B283" s="1217"/>
      <c r="C283" s="2278" t="s">
        <v>570</v>
      </c>
      <c r="D283" s="2278"/>
      <c r="E283" s="1115">
        <f>E284</f>
        <v>0</v>
      </c>
      <c r="F283" s="1115">
        <f t="shared" si="65"/>
        <v>3994</v>
      </c>
      <c r="G283" s="1115">
        <f t="shared" si="65"/>
        <v>3993</v>
      </c>
      <c r="H283" s="1116">
        <f t="shared" si="63"/>
        <v>0.99974962443665494</v>
      </c>
    </row>
    <row r="284" spans="1:8" ht="17.100000000000001" customHeight="1">
      <c r="A284" s="1057"/>
      <c r="B284" s="1217"/>
      <c r="C284" s="1096" t="s">
        <v>164</v>
      </c>
      <c r="D284" s="1097" t="s">
        <v>584</v>
      </c>
      <c r="E284" s="1079">
        <v>0</v>
      </c>
      <c r="F284" s="1079">
        <v>3994</v>
      </c>
      <c r="G284" s="1079">
        <v>3993</v>
      </c>
      <c r="H284" s="1080">
        <f t="shared" si="63"/>
        <v>0.99974962443665494</v>
      </c>
    </row>
    <row r="285" spans="1:8" ht="17.100000000000001" customHeight="1">
      <c r="A285" s="1057"/>
      <c r="B285" s="1218"/>
      <c r="C285" s="2148" t="s">
        <v>605</v>
      </c>
      <c r="D285" s="2148"/>
      <c r="E285" s="1063">
        <f>E286</f>
        <v>15390424</v>
      </c>
      <c r="F285" s="1063">
        <f t="shared" ref="F285:G285" si="66">F286</f>
        <v>2791939</v>
      </c>
      <c r="G285" s="1063">
        <f t="shared" si="66"/>
        <v>1069</v>
      </c>
      <c r="H285" s="1064">
        <f t="shared" si="63"/>
        <v>3.8288802155061411E-4</v>
      </c>
    </row>
    <row r="286" spans="1:8" ht="17.100000000000001" customHeight="1">
      <c r="A286" s="1057"/>
      <c r="B286" s="1218"/>
      <c r="C286" s="2272" t="s">
        <v>606</v>
      </c>
      <c r="D286" s="2272"/>
      <c r="E286" s="1079">
        <f>SUM(E287:E292)</f>
        <v>15390424</v>
      </c>
      <c r="F286" s="1079">
        <f t="shared" ref="F286:G286" si="67">SUM(F287:F292)</f>
        <v>2791939</v>
      </c>
      <c r="G286" s="1079">
        <f t="shared" si="67"/>
        <v>1069</v>
      </c>
      <c r="H286" s="1080">
        <f t="shared" si="63"/>
        <v>3.8288802155061411E-4</v>
      </c>
    </row>
    <row r="287" spans="1:8" ht="17.100000000000001" customHeight="1">
      <c r="A287" s="1057"/>
      <c r="B287" s="1218"/>
      <c r="C287" s="1161" t="s">
        <v>26</v>
      </c>
      <c r="D287" s="1162" t="s">
        <v>607</v>
      </c>
      <c r="E287" s="1079">
        <v>2485201</v>
      </c>
      <c r="F287" s="1079">
        <v>522071</v>
      </c>
      <c r="G287" s="1079">
        <v>115</v>
      </c>
      <c r="H287" s="1080">
        <f t="shared" si="63"/>
        <v>2.202765524229463E-4</v>
      </c>
    </row>
    <row r="288" spans="1:8" ht="17.100000000000001" customHeight="1">
      <c r="A288" s="1057"/>
      <c r="B288" s="1218"/>
      <c r="C288" s="1161" t="s">
        <v>695</v>
      </c>
      <c r="D288" s="1162" t="s">
        <v>607</v>
      </c>
      <c r="E288" s="1079">
        <v>5402610</v>
      </c>
      <c r="F288" s="1079">
        <v>1134934</v>
      </c>
      <c r="G288" s="1079">
        <v>477</v>
      </c>
      <c r="H288" s="1080">
        <f t="shared" si="63"/>
        <v>4.2028875687925464E-4</v>
      </c>
    </row>
    <row r="289" spans="1:8" ht="17.100000000000001" customHeight="1">
      <c r="A289" s="1057"/>
      <c r="B289" s="1218"/>
      <c r="C289" s="1161" t="s">
        <v>98</v>
      </c>
      <c r="D289" s="1162" t="s">
        <v>607</v>
      </c>
      <c r="E289" s="1079">
        <v>5402610</v>
      </c>
      <c r="F289" s="1079">
        <v>1134934</v>
      </c>
      <c r="G289" s="1079">
        <v>477</v>
      </c>
      <c r="H289" s="1080">
        <f t="shared" si="63"/>
        <v>4.2028875687925464E-4</v>
      </c>
    </row>
    <row r="290" spans="1:8" ht="17.100000000000001" customHeight="1">
      <c r="A290" s="1057"/>
      <c r="B290" s="1218"/>
      <c r="C290" s="1096" t="s">
        <v>144</v>
      </c>
      <c r="D290" s="1097" t="s">
        <v>650</v>
      </c>
      <c r="E290" s="1079">
        <v>392683</v>
      </c>
      <c r="F290" s="1079">
        <v>0</v>
      </c>
      <c r="G290" s="1079">
        <v>0</v>
      </c>
      <c r="H290" s="1080"/>
    </row>
    <row r="291" spans="1:8" ht="17.100000000000001" customHeight="1">
      <c r="A291" s="1057"/>
      <c r="B291" s="1218"/>
      <c r="C291" s="1096" t="s">
        <v>675</v>
      </c>
      <c r="D291" s="1097" t="s">
        <v>650</v>
      </c>
      <c r="E291" s="1079">
        <v>853660</v>
      </c>
      <c r="F291" s="1079">
        <v>0</v>
      </c>
      <c r="G291" s="1079">
        <v>0</v>
      </c>
      <c r="H291" s="1080"/>
    </row>
    <row r="292" spans="1:8" ht="17.100000000000001" customHeight="1">
      <c r="A292" s="1057"/>
      <c r="B292" s="1218"/>
      <c r="C292" s="1096" t="s">
        <v>693</v>
      </c>
      <c r="D292" s="1097" t="s">
        <v>650</v>
      </c>
      <c r="E292" s="1079">
        <v>853660</v>
      </c>
      <c r="F292" s="1079">
        <v>0</v>
      </c>
      <c r="G292" s="1079">
        <v>0</v>
      </c>
      <c r="H292" s="1080"/>
    </row>
    <row r="293" spans="1:8" ht="17.100000000000001" customHeight="1">
      <c r="A293" s="1057"/>
      <c r="B293" s="1218"/>
      <c r="C293" s="1098"/>
      <c r="D293" s="1117"/>
      <c r="E293" s="1118"/>
      <c r="F293" s="1118"/>
      <c r="G293" s="1118"/>
      <c r="H293" s="1119"/>
    </row>
    <row r="294" spans="1:8" ht="17.100000000000001" customHeight="1">
      <c r="A294" s="1057"/>
      <c r="B294" s="1218"/>
      <c r="C294" s="2278" t="s">
        <v>614</v>
      </c>
      <c r="D294" s="2286"/>
      <c r="E294" s="1079">
        <f>SUM(E295:E300)</f>
        <v>15390424</v>
      </c>
      <c r="F294" s="1079">
        <f t="shared" ref="F294:G294" si="68">SUM(F295:F300)</f>
        <v>2791939</v>
      </c>
      <c r="G294" s="1079">
        <f t="shared" si="68"/>
        <v>1069</v>
      </c>
      <c r="H294" s="1080">
        <f t="shared" si="63"/>
        <v>3.8288802155061411E-4</v>
      </c>
    </row>
    <row r="295" spans="1:8" ht="17.100000000000001" customHeight="1">
      <c r="A295" s="1057"/>
      <c r="B295" s="1218"/>
      <c r="C295" s="1161" t="s">
        <v>26</v>
      </c>
      <c r="D295" s="1162" t="s">
        <v>607</v>
      </c>
      <c r="E295" s="1079">
        <v>2485201</v>
      </c>
      <c r="F295" s="1079">
        <v>522071</v>
      </c>
      <c r="G295" s="1079">
        <v>115</v>
      </c>
      <c r="H295" s="1080">
        <f t="shared" si="63"/>
        <v>2.202765524229463E-4</v>
      </c>
    </row>
    <row r="296" spans="1:8" ht="17.100000000000001" customHeight="1">
      <c r="A296" s="1057"/>
      <c r="B296" s="1218"/>
      <c r="C296" s="1161" t="s">
        <v>695</v>
      </c>
      <c r="D296" s="1162" t="s">
        <v>607</v>
      </c>
      <c r="E296" s="1079">
        <v>5402610</v>
      </c>
      <c r="F296" s="1079">
        <v>1134934</v>
      </c>
      <c r="G296" s="1079">
        <v>477</v>
      </c>
      <c r="H296" s="1080">
        <f t="shared" si="63"/>
        <v>4.2028875687925464E-4</v>
      </c>
    </row>
    <row r="297" spans="1:8" ht="17.100000000000001" customHeight="1">
      <c r="A297" s="1057"/>
      <c r="B297" s="1218"/>
      <c r="C297" s="1161" t="s">
        <v>98</v>
      </c>
      <c r="D297" s="1162" t="s">
        <v>607</v>
      </c>
      <c r="E297" s="1079">
        <v>5402610</v>
      </c>
      <c r="F297" s="1079">
        <v>1134934</v>
      </c>
      <c r="G297" s="1079">
        <v>477</v>
      </c>
      <c r="H297" s="1080">
        <f t="shared" si="63"/>
        <v>4.2028875687925464E-4</v>
      </c>
    </row>
    <row r="298" spans="1:8" ht="17.100000000000001" customHeight="1">
      <c r="A298" s="1057"/>
      <c r="B298" s="1218"/>
      <c r="C298" s="1096" t="s">
        <v>144</v>
      </c>
      <c r="D298" s="1097" t="s">
        <v>650</v>
      </c>
      <c r="E298" s="1079">
        <v>392683</v>
      </c>
      <c r="F298" s="1079">
        <v>0</v>
      </c>
      <c r="G298" s="1079">
        <v>0</v>
      </c>
      <c r="H298" s="1080"/>
    </row>
    <row r="299" spans="1:8" ht="16.5" customHeight="1">
      <c r="A299" s="1057"/>
      <c r="B299" s="1218"/>
      <c r="C299" s="1096" t="s">
        <v>675</v>
      </c>
      <c r="D299" s="1097" t="s">
        <v>650</v>
      </c>
      <c r="E299" s="1079">
        <v>853660</v>
      </c>
      <c r="F299" s="1079">
        <v>0</v>
      </c>
      <c r="G299" s="1079">
        <v>0</v>
      </c>
      <c r="H299" s="1080"/>
    </row>
    <row r="300" spans="1:8" ht="15.75" customHeight="1" thickBot="1">
      <c r="A300" s="1057"/>
      <c r="B300" s="1218"/>
      <c r="C300" s="1087" t="s">
        <v>693</v>
      </c>
      <c r="D300" s="1088" t="s">
        <v>650</v>
      </c>
      <c r="E300" s="1185">
        <v>853660</v>
      </c>
      <c r="F300" s="1185">
        <v>0</v>
      </c>
      <c r="G300" s="1185">
        <v>0</v>
      </c>
      <c r="H300" s="1186"/>
    </row>
    <row r="301" spans="1:8" ht="17.100000000000001" customHeight="1" thickBot="1">
      <c r="A301" s="1057"/>
      <c r="B301" s="1144" t="s">
        <v>696</v>
      </c>
      <c r="C301" s="1145"/>
      <c r="D301" s="1146" t="s">
        <v>311</v>
      </c>
      <c r="E301" s="1219">
        <f>E302</f>
        <v>57000000</v>
      </c>
      <c r="F301" s="1219">
        <f>F302</f>
        <v>57056602</v>
      </c>
      <c r="G301" s="1219">
        <f t="shared" ref="G301" si="69">G302</f>
        <v>51985424</v>
      </c>
      <c r="H301" s="1220">
        <f t="shared" si="63"/>
        <v>0.91112022408905458</v>
      </c>
    </row>
    <row r="302" spans="1:8" ht="17.100000000000001" customHeight="1">
      <c r="A302" s="1057"/>
      <c r="B302" s="2258"/>
      <c r="C302" s="2314" t="s">
        <v>560</v>
      </c>
      <c r="D302" s="2112"/>
      <c r="E302" s="1063">
        <f>E303+E307</f>
        <v>57000000</v>
      </c>
      <c r="F302" s="1063">
        <f>F303+F307</f>
        <v>57056602</v>
      </c>
      <c r="G302" s="1063">
        <f t="shared" ref="G302" si="70">G303+G307</f>
        <v>51985424</v>
      </c>
      <c r="H302" s="1064">
        <f t="shared" si="63"/>
        <v>0.91112022408905458</v>
      </c>
    </row>
    <row r="303" spans="1:8" ht="17.100000000000001" customHeight="1">
      <c r="A303" s="1057"/>
      <c r="B303" s="2258"/>
      <c r="C303" s="2276" t="s">
        <v>647</v>
      </c>
      <c r="D303" s="2276"/>
      <c r="E303" s="1221">
        <f>E304+E305</f>
        <v>57000000</v>
      </c>
      <c r="F303" s="1221">
        <f t="shared" ref="F303:G303" si="71">F304+F305</f>
        <v>57025353</v>
      </c>
      <c r="G303" s="1221">
        <f t="shared" si="71"/>
        <v>51954175</v>
      </c>
      <c r="H303" s="1222">
        <f t="shared" si="63"/>
        <v>0.91107151936437814</v>
      </c>
    </row>
    <row r="304" spans="1:8" ht="25.5">
      <c r="A304" s="1057"/>
      <c r="B304" s="2258"/>
      <c r="C304" s="1087" t="s">
        <v>697</v>
      </c>
      <c r="D304" s="1088" t="s">
        <v>698</v>
      </c>
      <c r="E304" s="1081">
        <v>57000000</v>
      </c>
      <c r="F304" s="1081">
        <v>56803000</v>
      </c>
      <c r="G304" s="1081">
        <v>51731822</v>
      </c>
      <c r="H304" s="1082">
        <f t="shared" si="63"/>
        <v>0.9107234124958189</v>
      </c>
    </row>
    <row r="305" spans="1:8" ht="40.5" customHeight="1">
      <c r="A305" s="1057"/>
      <c r="B305" s="1093"/>
      <c r="C305" s="1223" t="s">
        <v>160</v>
      </c>
      <c r="D305" s="1224" t="s">
        <v>314</v>
      </c>
      <c r="E305" s="1185">
        <v>0</v>
      </c>
      <c r="F305" s="1185">
        <v>222353</v>
      </c>
      <c r="G305" s="1185">
        <v>222353</v>
      </c>
      <c r="H305" s="1080">
        <f t="shared" si="63"/>
        <v>1</v>
      </c>
    </row>
    <row r="306" spans="1:8" ht="13.5" customHeight="1">
      <c r="A306" s="1057"/>
      <c r="B306" s="1093"/>
      <c r="C306" s="1225"/>
      <c r="D306" s="1226"/>
      <c r="E306" s="1185"/>
      <c r="F306" s="1185"/>
      <c r="G306" s="1185"/>
      <c r="H306" s="1080"/>
    </row>
    <row r="307" spans="1:8" ht="16.5" customHeight="1">
      <c r="A307" s="1057"/>
      <c r="B307" s="1093"/>
      <c r="C307" s="2276" t="s">
        <v>561</v>
      </c>
      <c r="D307" s="2276"/>
      <c r="E307" s="1185">
        <f>E308</f>
        <v>0</v>
      </c>
      <c r="F307" s="1185">
        <f t="shared" ref="F307:G308" si="72">F308</f>
        <v>31249</v>
      </c>
      <c r="G307" s="1185">
        <f t="shared" si="72"/>
        <v>31249</v>
      </c>
      <c r="H307" s="1080">
        <f t="shared" si="63"/>
        <v>1</v>
      </c>
    </row>
    <row r="308" spans="1:8" ht="14.25" customHeight="1">
      <c r="A308" s="1057"/>
      <c r="B308" s="1093"/>
      <c r="C308" s="2278" t="s">
        <v>570</v>
      </c>
      <c r="D308" s="2278"/>
      <c r="E308" s="1185">
        <f>E309</f>
        <v>0</v>
      </c>
      <c r="F308" s="1185">
        <f t="shared" si="72"/>
        <v>31249</v>
      </c>
      <c r="G308" s="1185">
        <f t="shared" si="72"/>
        <v>31249</v>
      </c>
      <c r="H308" s="1080">
        <f t="shared" si="63"/>
        <v>1</v>
      </c>
    </row>
    <row r="309" spans="1:8" ht="42.75" customHeight="1" thickBot="1">
      <c r="A309" s="1057"/>
      <c r="B309" s="1093"/>
      <c r="C309" s="1096" t="s">
        <v>699</v>
      </c>
      <c r="D309" s="1097" t="s">
        <v>663</v>
      </c>
      <c r="E309" s="1089">
        <v>0</v>
      </c>
      <c r="F309" s="1089">
        <v>31249</v>
      </c>
      <c r="G309" s="1089">
        <v>31249</v>
      </c>
      <c r="H309" s="1080">
        <f t="shared" si="63"/>
        <v>1</v>
      </c>
    </row>
    <row r="310" spans="1:8" ht="17.100000000000001" customHeight="1" thickBot="1">
      <c r="A310" s="1057"/>
      <c r="B310" s="1144" t="s">
        <v>700</v>
      </c>
      <c r="C310" s="1145"/>
      <c r="D310" s="1146" t="s">
        <v>315</v>
      </c>
      <c r="E310" s="1147">
        <f t="shared" ref="E310:G313" si="73">E311</f>
        <v>600000</v>
      </c>
      <c r="F310" s="1147">
        <f t="shared" si="73"/>
        <v>600000</v>
      </c>
      <c r="G310" s="1147">
        <f t="shared" si="73"/>
        <v>53763</v>
      </c>
      <c r="H310" s="1148">
        <f t="shared" si="63"/>
        <v>8.9605000000000004E-2</v>
      </c>
    </row>
    <row r="311" spans="1:8" ht="17.100000000000001" customHeight="1">
      <c r="A311" s="1057"/>
      <c r="B311" s="2258"/>
      <c r="C311" s="2112" t="s">
        <v>560</v>
      </c>
      <c r="D311" s="2112"/>
      <c r="E311" s="1063">
        <f t="shared" si="73"/>
        <v>600000</v>
      </c>
      <c r="F311" s="1063">
        <f t="shared" si="73"/>
        <v>600000</v>
      </c>
      <c r="G311" s="1063">
        <f t="shared" si="73"/>
        <v>53763</v>
      </c>
      <c r="H311" s="1064">
        <f t="shared" si="63"/>
        <v>8.9605000000000004E-2</v>
      </c>
    </row>
    <row r="312" spans="1:8" ht="17.100000000000001" customHeight="1">
      <c r="A312" s="1057"/>
      <c r="B312" s="2258"/>
      <c r="C312" s="2276" t="s">
        <v>561</v>
      </c>
      <c r="D312" s="2276"/>
      <c r="E312" s="1079">
        <f t="shared" si="73"/>
        <v>600000</v>
      </c>
      <c r="F312" s="1079">
        <f t="shared" si="73"/>
        <v>600000</v>
      </c>
      <c r="G312" s="1079">
        <f t="shared" si="73"/>
        <v>53763</v>
      </c>
      <c r="H312" s="1080">
        <f t="shared" si="63"/>
        <v>8.9605000000000004E-2</v>
      </c>
    </row>
    <row r="313" spans="1:8" ht="17.100000000000001" customHeight="1">
      <c r="A313" s="1057"/>
      <c r="B313" s="2258"/>
      <c r="C313" s="2278" t="s">
        <v>570</v>
      </c>
      <c r="D313" s="2278"/>
      <c r="E313" s="1115">
        <f t="shared" si="73"/>
        <v>600000</v>
      </c>
      <c r="F313" s="1115">
        <f t="shared" si="73"/>
        <v>600000</v>
      </c>
      <c r="G313" s="1115">
        <f t="shared" si="73"/>
        <v>53763</v>
      </c>
      <c r="H313" s="1116">
        <f t="shared" si="63"/>
        <v>8.9605000000000004E-2</v>
      </c>
    </row>
    <row r="314" spans="1:8" ht="17.100000000000001" customHeight="1" thickBot="1">
      <c r="A314" s="1057"/>
      <c r="B314" s="2258"/>
      <c r="C314" s="1077" t="s">
        <v>164</v>
      </c>
      <c r="D314" s="1151" t="s">
        <v>584</v>
      </c>
      <c r="E314" s="1079">
        <v>600000</v>
      </c>
      <c r="F314" s="1079">
        <v>600000</v>
      </c>
      <c r="G314" s="1079">
        <v>53763</v>
      </c>
      <c r="H314" s="1080">
        <f t="shared" si="63"/>
        <v>8.9605000000000004E-2</v>
      </c>
    </row>
    <row r="315" spans="1:8" ht="17.100000000000001" customHeight="1" thickBot="1">
      <c r="A315" s="1057"/>
      <c r="B315" s="1144" t="s">
        <v>6</v>
      </c>
      <c r="C315" s="1153"/>
      <c r="D315" s="1154" t="s">
        <v>12</v>
      </c>
      <c r="E315" s="1155">
        <f>E316+E352</f>
        <v>653296101</v>
      </c>
      <c r="F315" s="1155">
        <f t="shared" ref="F315:G315" si="74">F316+F352</f>
        <v>436839693</v>
      </c>
      <c r="G315" s="1155">
        <f t="shared" si="74"/>
        <v>412040002</v>
      </c>
      <c r="H315" s="1156">
        <f t="shared" si="63"/>
        <v>0.94322930952155948</v>
      </c>
    </row>
    <row r="316" spans="1:8" ht="17.100000000000001" customHeight="1">
      <c r="A316" s="1057"/>
      <c r="B316" s="1069"/>
      <c r="C316" s="2112" t="s">
        <v>560</v>
      </c>
      <c r="D316" s="2112"/>
      <c r="E316" s="1063">
        <f>E317+E349</f>
        <v>61033389</v>
      </c>
      <c r="F316" s="1063">
        <f t="shared" ref="F316:G316" si="75">F317+F349</f>
        <v>66215972</v>
      </c>
      <c r="G316" s="1063">
        <f t="shared" si="75"/>
        <v>64130865</v>
      </c>
      <c r="H316" s="1064">
        <f t="shared" si="63"/>
        <v>0.96851051284122203</v>
      </c>
    </row>
    <row r="317" spans="1:8" ht="17.100000000000001" customHeight="1">
      <c r="A317" s="1057"/>
      <c r="B317" s="1069"/>
      <c r="C317" s="2276" t="s">
        <v>561</v>
      </c>
      <c r="D317" s="2276"/>
      <c r="E317" s="1079">
        <f t="shared" ref="E317:G317" si="76">E318+E325</f>
        <v>60792139</v>
      </c>
      <c r="F317" s="1079">
        <f t="shared" si="76"/>
        <v>65974722</v>
      </c>
      <c r="G317" s="1079">
        <f t="shared" si="76"/>
        <v>63970684</v>
      </c>
      <c r="H317" s="1080">
        <f t="shared" si="63"/>
        <v>0.96962415392974299</v>
      </c>
    </row>
    <row r="318" spans="1:8" ht="17.100000000000001" customHeight="1">
      <c r="A318" s="1057"/>
      <c r="B318" s="1069"/>
      <c r="C318" s="2277" t="s">
        <v>562</v>
      </c>
      <c r="D318" s="2277"/>
      <c r="E318" s="1115">
        <f t="shared" ref="E318:G318" si="77">SUM(E319:E323)</f>
        <v>17753396</v>
      </c>
      <c r="F318" s="1115">
        <f t="shared" si="77"/>
        <v>17694962</v>
      </c>
      <c r="G318" s="1115">
        <f t="shared" si="77"/>
        <v>17477643</v>
      </c>
      <c r="H318" s="1116">
        <f t="shared" si="63"/>
        <v>0.98771859470509171</v>
      </c>
    </row>
    <row r="319" spans="1:8" ht="17.100000000000001" customHeight="1">
      <c r="A319" s="1057"/>
      <c r="B319" s="1069"/>
      <c r="C319" s="1096" t="s">
        <v>145</v>
      </c>
      <c r="D319" s="1097" t="s">
        <v>563</v>
      </c>
      <c r="E319" s="1079">
        <v>14026762</v>
      </c>
      <c r="F319" s="1079">
        <v>14026762</v>
      </c>
      <c r="G319" s="1079">
        <v>13897960</v>
      </c>
      <c r="H319" s="1080">
        <f t="shared" si="63"/>
        <v>0.99081741031893178</v>
      </c>
    </row>
    <row r="320" spans="1:8" ht="17.100000000000001" customHeight="1">
      <c r="A320" s="1057"/>
      <c r="B320" s="1069"/>
      <c r="C320" s="1096" t="s">
        <v>564</v>
      </c>
      <c r="D320" s="1097" t="s">
        <v>565</v>
      </c>
      <c r="E320" s="1079">
        <v>896356</v>
      </c>
      <c r="F320" s="1079">
        <v>825422</v>
      </c>
      <c r="G320" s="1079">
        <v>825421</v>
      </c>
      <c r="H320" s="1080">
        <f t="shared" si="63"/>
        <v>0.99999878849848922</v>
      </c>
    </row>
    <row r="321" spans="1:8" ht="17.100000000000001" customHeight="1">
      <c r="A321" s="1057"/>
      <c r="B321" s="1069"/>
      <c r="C321" s="1096" t="s">
        <v>146</v>
      </c>
      <c r="D321" s="1097" t="s">
        <v>566</v>
      </c>
      <c r="E321" s="1079">
        <v>2464249</v>
      </c>
      <c r="F321" s="1079">
        <v>2464249</v>
      </c>
      <c r="G321" s="1079">
        <v>2464241</v>
      </c>
      <c r="H321" s="1080">
        <f t="shared" si="63"/>
        <v>0.99999675357482143</v>
      </c>
    </row>
    <row r="322" spans="1:8" ht="17.100000000000001" customHeight="1">
      <c r="A322" s="1057"/>
      <c r="B322" s="1069"/>
      <c r="C322" s="1096" t="s">
        <v>147</v>
      </c>
      <c r="D322" s="1097" t="s">
        <v>567</v>
      </c>
      <c r="E322" s="1079">
        <v>343426</v>
      </c>
      <c r="F322" s="1079">
        <v>343426</v>
      </c>
      <c r="G322" s="1079">
        <v>265221</v>
      </c>
      <c r="H322" s="1080">
        <f t="shared" si="63"/>
        <v>0.77227990891778719</v>
      </c>
    </row>
    <row r="323" spans="1:8" ht="17.100000000000001" customHeight="1">
      <c r="A323" s="1057"/>
      <c r="B323" s="1069"/>
      <c r="C323" s="1096" t="s">
        <v>568</v>
      </c>
      <c r="D323" s="1097" t="s">
        <v>569</v>
      </c>
      <c r="E323" s="1079">
        <v>22603</v>
      </c>
      <c r="F323" s="1079">
        <v>35103</v>
      </c>
      <c r="G323" s="1079">
        <v>24800</v>
      </c>
      <c r="H323" s="1080">
        <f t="shared" si="63"/>
        <v>0.70649232259351058</v>
      </c>
    </row>
    <row r="324" spans="1:8" ht="17.100000000000001" customHeight="1">
      <c r="A324" s="1057"/>
      <c r="B324" s="1069"/>
      <c r="C324" s="1213"/>
      <c r="D324" s="1214"/>
      <c r="E324" s="1215"/>
      <c r="F324" s="1215"/>
      <c r="G324" s="1215"/>
      <c r="H324" s="1216"/>
    </row>
    <row r="325" spans="1:8" ht="17.100000000000001" customHeight="1">
      <c r="A325" s="1057"/>
      <c r="B325" s="1069"/>
      <c r="C325" s="2291" t="s">
        <v>570</v>
      </c>
      <c r="D325" s="2291"/>
      <c r="E325" s="1227">
        <f>SUM(E326:E347)</f>
        <v>43038743</v>
      </c>
      <c r="F325" s="1227">
        <f t="shared" ref="F325:G325" si="78">SUM(F326:F347)</f>
        <v>48279760</v>
      </c>
      <c r="G325" s="1227">
        <f t="shared" si="78"/>
        <v>46493041</v>
      </c>
      <c r="H325" s="1228">
        <f t="shared" si="63"/>
        <v>0.96299238024381228</v>
      </c>
    </row>
    <row r="326" spans="1:8" ht="17.100000000000001" customHeight="1">
      <c r="A326" s="1057"/>
      <c r="B326" s="1069"/>
      <c r="C326" s="1096" t="s">
        <v>571</v>
      </c>
      <c r="D326" s="1097" t="s">
        <v>572</v>
      </c>
      <c r="E326" s="1079">
        <v>226966</v>
      </c>
      <c r="F326" s="1079">
        <v>156966</v>
      </c>
      <c r="G326" s="1079">
        <v>105903</v>
      </c>
      <c r="H326" s="1080">
        <f t="shared" si="63"/>
        <v>0.674687511945262</v>
      </c>
    </row>
    <row r="327" spans="1:8" ht="17.100000000000001" customHeight="1">
      <c r="A327" s="1057"/>
      <c r="B327" s="1069"/>
      <c r="C327" s="1096" t="s">
        <v>143</v>
      </c>
      <c r="D327" s="1097" t="s">
        <v>573</v>
      </c>
      <c r="E327" s="1079">
        <v>6868400</v>
      </c>
      <c r="F327" s="1079">
        <v>7996400</v>
      </c>
      <c r="G327" s="1079">
        <v>7687045</v>
      </c>
      <c r="H327" s="1080">
        <f t="shared" si="63"/>
        <v>0.96131321594717623</v>
      </c>
    </row>
    <row r="328" spans="1:8" ht="17.100000000000001" customHeight="1">
      <c r="A328" s="1057"/>
      <c r="B328" s="1069"/>
      <c r="C328" s="1096" t="s">
        <v>574</v>
      </c>
      <c r="D328" s="1097" t="s">
        <v>575</v>
      </c>
      <c r="E328" s="1079">
        <v>23000</v>
      </c>
      <c r="F328" s="1079">
        <v>19000</v>
      </c>
      <c r="G328" s="1079">
        <v>10482</v>
      </c>
      <c r="H328" s="1080">
        <f t="shared" si="63"/>
        <v>0.55168421052631578</v>
      </c>
    </row>
    <row r="329" spans="1:8" ht="17.100000000000001" customHeight="1">
      <c r="A329" s="1057"/>
      <c r="B329" s="1069"/>
      <c r="C329" s="1096" t="s">
        <v>576</v>
      </c>
      <c r="D329" s="1097" t="s">
        <v>577</v>
      </c>
      <c r="E329" s="1079">
        <v>660000</v>
      </c>
      <c r="F329" s="1079">
        <v>520000</v>
      </c>
      <c r="G329" s="1079">
        <v>419652</v>
      </c>
      <c r="H329" s="1080">
        <f t="shared" si="63"/>
        <v>0.80702307692307695</v>
      </c>
    </row>
    <row r="330" spans="1:8" ht="17.100000000000001" customHeight="1">
      <c r="A330" s="1057"/>
      <c r="B330" s="1069"/>
      <c r="C330" s="1096" t="s">
        <v>24</v>
      </c>
      <c r="D330" s="1097" t="s">
        <v>578</v>
      </c>
      <c r="E330" s="1079">
        <v>19054100</v>
      </c>
      <c r="F330" s="1079">
        <v>22929264</v>
      </c>
      <c r="G330" s="1079">
        <v>22823414</v>
      </c>
      <c r="H330" s="1080">
        <f t="shared" si="63"/>
        <v>0.99538362853687756</v>
      </c>
    </row>
    <row r="331" spans="1:8" ht="17.100000000000001" customHeight="1">
      <c r="A331" s="1057"/>
      <c r="B331" s="1069"/>
      <c r="C331" s="1096" t="s">
        <v>579</v>
      </c>
      <c r="D331" s="1097" t="s">
        <v>580</v>
      </c>
      <c r="E331" s="1079">
        <v>41000</v>
      </c>
      <c r="F331" s="1079">
        <v>41000</v>
      </c>
      <c r="G331" s="1079">
        <v>18777</v>
      </c>
      <c r="H331" s="1080">
        <f t="shared" si="63"/>
        <v>0.45797560975609758</v>
      </c>
    </row>
    <row r="332" spans="1:8" ht="17.100000000000001" customHeight="1">
      <c r="A332" s="1057"/>
      <c r="B332" s="1069"/>
      <c r="C332" s="1096" t="s">
        <v>25</v>
      </c>
      <c r="D332" s="1097" t="s">
        <v>581</v>
      </c>
      <c r="E332" s="1079">
        <f>20000+13844919</f>
        <v>13864919</v>
      </c>
      <c r="F332" s="1079">
        <v>13204884</v>
      </c>
      <c r="G332" s="1079">
        <v>12365337</v>
      </c>
      <c r="H332" s="1080">
        <f t="shared" si="63"/>
        <v>0.9364214785983731</v>
      </c>
    </row>
    <row r="333" spans="1:8" ht="16.5" customHeight="1">
      <c r="A333" s="1057"/>
      <c r="B333" s="1069"/>
      <c r="C333" s="1096" t="s">
        <v>582</v>
      </c>
      <c r="D333" s="1097" t="s">
        <v>583</v>
      </c>
      <c r="E333" s="1079">
        <v>75000</v>
      </c>
      <c r="F333" s="1079">
        <v>75000</v>
      </c>
      <c r="G333" s="1079">
        <v>59524</v>
      </c>
      <c r="H333" s="1080">
        <f t="shared" si="63"/>
        <v>0.79365333333333332</v>
      </c>
    </row>
    <row r="334" spans="1:8" ht="17.100000000000001" customHeight="1">
      <c r="A334" s="1057"/>
      <c r="B334" s="1069"/>
      <c r="C334" s="1096" t="s">
        <v>164</v>
      </c>
      <c r="D334" s="1097" t="s">
        <v>584</v>
      </c>
      <c r="E334" s="1079">
        <v>707000</v>
      </c>
      <c r="F334" s="1079">
        <v>458500</v>
      </c>
      <c r="G334" s="1079">
        <v>374448</v>
      </c>
      <c r="H334" s="1080">
        <f t="shared" si="63"/>
        <v>0.81668047982551795</v>
      </c>
    </row>
    <row r="335" spans="1:8" ht="17.100000000000001" customHeight="1">
      <c r="A335" s="1057"/>
      <c r="B335" s="1069"/>
      <c r="C335" s="1096" t="s">
        <v>587</v>
      </c>
      <c r="D335" s="1097" t="s">
        <v>588</v>
      </c>
      <c r="E335" s="1079">
        <v>20000</v>
      </c>
      <c r="F335" s="1079">
        <v>20000</v>
      </c>
      <c r="G335" s="1079">
        <v>4172</v>
      </c>
      <c r="H335" s="1080">
        <f t="shared" si="63"/>
        <v>0.20860000000000001</v>
      </c>
    </row>
    <row r="336" spans="1:8" ht="17.100000000000001" hidden="1" customHeight="1">
      <c r="A336" s="1057"/>
      <c r="B336" s="1069"/>
      <c r="C336" s="1096" t="s">
        <v>701</v>
      </c>
      <c r="D336" s="1097" t="s">
        <v>588</v>
      </c>
      <c r="E336" s="1079">
        <v>0</v>
      </c>
      <c r="F336" s="1079"/>
      <c r="G336" s="1079"/>
      <c r="H336" s="1080" t="e">
        <f t="shared" si="63"/>
        <v>#DIV/0!</v>
      </c>
    </row>
    <row r="337" spans="1:8" ht="17.100000000000001" customHeight="1">
      <c r="A337" s="1057"/>
      <c r="B337" s="1069"/>
      <c r="C337" s="1096" t="s">
        <v>701</v>
      </c>
      <c r="D337" s="1097" t="s">
        <v>702</v>
      </c>
      <c r="E337" s="1079">
        <v>30000</v>
      </c>
      <c r="F337" s="1079">
        <v>30000</v>
      </c>
      <c r="G337" s="1079">
        <v>1531</v>
      </c>
      <c r="H337" s="1080">
        <f t="shared" si="63"/>
        <v>5.1033333333333333E-2</v>
      </c>
    </row>
    <row r="338" spans="1:8" ht="17.100000000000001" customHeight="1">
      <c r="A338" s="1057"/>
      <c r="B338" s="1069"/>
      <c r="C338" s="1096" t="s">
        <v>589</v>
      </c>
      <c r="D338" s="1097" t="s">
        <v>590</v>
      </c>
      <c r="E338" s="1079">
        <v>680000</v>
      </c>
      <c r="F338" s="1079">
        <v>618400</v>
      </c>
      <c r="G338" s="1079">
        <v>489750</v>
      </c>
      <c r="H338" s="1080">
        <f t="shared" si="63"/>
        <v>0.79196313065976709</v>
      </c>
    </row>
    <row r="339" spans="1:8" ht="17.100000000000001" customHeight="1">
      <c r="A339" s="1057"/>
      <c r="B339" s="1069"/>
      <c r="C339" s="1096" t="s">
        <v>591</v>
      </c>
      <c r="D339" s="1097" t="s">
        <v>592</v>
      </c>
      <c r="E339" s="1079">
        <v>285258</v>
      </c>
      <c r="F339" s="1079">
        <v>285258</v>
      </c>
      <c r="G339" s="1079">
        <v>275512</v>
      </c>
      <c r="H339" s="1080">
        <f t="shared" si="63"/>
        <v>0.96583443759684218</v>
      </c>
    </row>
    <row r="340" spans="1:8" ht="17.100000000000001" customHeight="1">
      <c r="A340" s="1057"/>
      <c r="B340" s="1069"/>
      <c r="C340" s="1096" t="s">
        <v>593</v>
      </c>
      <c r="D340" s="1097" t="s">
        <v>594</v>
      </c>
      <c r="E340" s="1079">
        <v>126000</v>
      </c>
      <c r="F340" s="1079">
        <v>126000</v>
      </c>
      <c r="G340" s="1079">
        <v>118886</v>
      </c>
      <c r="H340" s="1080">
        <f t="shared" si="63"/>
        <v>0.94353968253968257</v>
      </c>
    </row>
    <row r="341" spans="1:8" ht="17.100000000000001" customHeight="1">
      <c r="A341" s="1057"/>
      <c r="B341" s="1069"/>
      <c r="C341" s="1096" t="s">
        <v>610</v>
      </c>
      <c r="D341" s="1097" t="s">
        <v>611</v>
      </c>
      <c r="E341" s="1079">
        <v>21000</v>
      </c>
      <c r="F341" s="1079">
        <v>11000</v>
      </c>
      <c r="G341" s="1079">
        <v>4017</v>
      </c>
      <c r="H341" s="1080">
        <f t="shared" si="63"/>
        <v>0.36518181818181816</v>
      </c>
    </row>
    <row r="342" spans="1:8" ht="17.100000000000001" customHeight="1">
      <c r="A342" s="1057"/>
      <c r="B342" s="1069"/>
      <c r="C342" s="1096" t="s">
        <v>597</v>
      </c>
      <c r="D342" s="1097" t="s">
        <v>598</v>
      </c>
      <c r="E342" s="1079">
        <v>156100</v>
      </c>
      <c r="F342" s="1079">
        <v>156100</v>
      </c>
      <c r="G342" s="1079">
        <v>122496</v>
      </c>
      <c r="H342" s="1080">
        <f t="shared" si="63"/>
        <v>0.78472773862908396</v>
      </c>
    </row>
    <row r="343" spans="1:8" ht="17.100000000000001" customHeight="1">
      <c r="A343" s="1057"/>
      <c r="B343" s="1069"/>
      <c r="C343" s="1096" t="s">
        <v>703</v>
      </c>
      <c r="D343" s="1097" t="s">
        <v>301</v>
      </c>
      <c r="E343" s="1079">
        <v>0</v>
      </c>
      <c r="F343" s="1079">
        <v>367507</v>
      </c>
      <c r="G343" s="1079">
        <v>367498</v>
      </c>
      <c r="H343" s="1080">
        <f t="shared" si="63"/>
        <v>0.99997551067054502</v>
      </c>
    </row>
    <row r="344" spans="1:8" ht="17.100000000000001" customHeight="1">
      <c r="A344" s="1057"/>
      <c r="B344" s="1069"/>
      <c r="C344" s="1096" t="s">
        <v>654</v>
      </c>
      <c r="D344" s="1097" t="s">
        <v>655</v>
      </c>
      <c r="E344" s="1079">
        <v>50000</v>
      </c>
      <c r="F344" s="1079">
        <v>17171</v>
      </c>
      <c r="G344" s="1079">
        <v>9408</v>
      </c>
      <c r="H344" s="1080">
        <f t="shared" si="63"/>
        <v>0.54790052996331018</v>
      </c>
    </row>
    <row r="345" spans="1:8" ht="24.75" customHeight="1">
      <c r="A345" s="1057"/>
      <c r="B345" s="1069"/>
      <c r="C345" s="1096" t="s">
        <v>704</v>
      </c>
      <c r="D345" s="1097" t="s">
        <v>705</v>
      </c>
      <c r="E345" s="1079">
        <v>0</v>
      </c>
      <c r="F345" s="1079">
        <v>909720</v>
      </c>
      <c r="G345" s="1079">
        <v>909719</v>
      </c>
      <c r="H345" s="1080">
        <f t="shared" ref="H345:H412" si="79">G345/F345</f>
        <v>0.99999890076067366</v>
      </c>
    </row>
    <row r="346" spans="1:8" ht="17.100000000000001" customHeight="1">
      <c r="A346" s="1057"/>
      <c r="B346" s="1069"/>
      <c r="C346" s="1096" t="s">
        <v>608</v>
      </c>
      <c r="D346" s="1097" t="s">
        <v>609</v>
      </c>
      <c r="E346" s="1079">
        <v>50000</v>
      </c>
      <c r="F346" s="1079">
        <v>217590</v>
      </c>
      <c r="G346" s="1079">
        <v>207740</v>
      </c>
      <c r="H346" s="1080">
        <f t="shared" si="79"/>
        <v>0.95473137552277221</v>
      </c>
    </row>
    <row r="347" spans="1:8" ht="17.100000000000001" customHeight="1">
      <c r="A347" s="1057"/>
      <c r="B347" s="1069"/>
      <c r="C347" s="1096" t="s">
        <v>148</v>
      </c>
      <c r="D347" s="1097" t="s">
        <v>601</v>
      </c>
      <c r="E347" s="1079">
        <v>100000</v>
      </c>
      <c r="F347" s="1079">
        <v>120000</v>
      </c>
      <c r="G347" s="1079">
        <v>117730</v>
      </c>
      <c r="H347" s="1080">
        <f t="shared" si="79"/>
        <v>0.98108333333333331</v>
      </c>
    </row>
    <row r="348" spans="1:8" ht="17.100000000000001" customHeight="1">
      <c r="A348" s="1057"/>
      <c r="B348" s="1069"/>
      <c r="C348" s="1213"/>
      <c r="D348" s="1214"/>
      <c r="E348" s="1215"/>
      <c r="F348" s="1215"/>
      <c r="G348" s="1215"/>
      <c r="H348" s="1216"/>
    </row>
    <row r="349" spans="1:8" ht="17.100000000000001" customHeight="1">
      <c r="A349" s="1057"/>
      <c r="B349" s="1069"/>
      <c r="C349" s="2171" t="s">
        <v>602</v>
      </c>
      <c r="D349" s="2171"/>
      <c r="E349" s="1103">
        <f t="shared" ref="E349:G349" si="80">E350</f>
        <v>241250</v>
      </c>
      <c r="F349" s="1103">
        <f t="shared" si="80"/>
        <v>241250</v>
      </c>
      <c r="G349" s="1103">
        <f t="shared" si="80"/>
        <v>160181</v>
      </c>
      <c r="H349" s="1104">
        <f t="shared" si="79"/>
        <v>0.66396269430051813</v>
      </c>
    </row>
    <row r="350" spans="1:8" ht="17.100000000000001" customHeight="1">
      <c r="A350" s="1057"/>
      <c r="B350" s="1069"/>
      <c r="C350" s="1087" t="s">
        <v>603</v>
      </c>
      <c r="D350" s="1088" t="s">
        <v>604</v>
      </c>
      <c r="E350" s="1185">
        <v>241250</v>
      </c>
      <c r="F350" s="1185">
        <v>241250</v>
      </c>
      <c r="G350" s="1185">
        <v>160181</v>
      </c>
      <c r="H350" s="1186">
        <f t="shared" si="79"/>
        <v>0.66396269430051813</v>
      </c>
    </row>
    <row r="351" spans="1:8" ht="17.100000000000001" customHeight="1">
      <c r="A351" s="1057"/>
      <c r="B351" s="1069"/>
      <c r="C351" s="1229"/>
      <c r="D351" s="1230"/>
      <c r="E351" s="1231"/>
      <c r="F351" s="1231"/>
      <c r="G351" s="1231"/>
      <c r="H351" s="1232"/>
    </row>
    <row r="352" spans="1:8" ht="17.100000000000001" customHeight="1">
      <c r="A352" s="1057"/>
      <c r="B352" s="1069"/>
      <c r="C352" s="2148" t="s">
        <v>605</v>
      </c>
      <c r="D352" s="2148"/>
      <c r="E352" s="1063">
        <f>E353</f>
        <v>592262712</v>
      </c>
      <c r="F352" s="1063">
        <f>F353</f>
        <v>370623721</v>
      </c>
      <c r="G352" s="1063">
        <f t="shared" ref="G352" si="81">G353</f>
        <v>347909137</v>
      </c>
      <c r="H352" s="1064">
        <f t="shared" si="79"/>
        <v>0.93871254668019477</v>
      </c>
    </row>
    <row r="353" spans="1:9" ht="17.100000000000001" customHeight="1">
      <c r="A353" s="1057"/>
      <c r="B353" s="1069"/>
      <c r="C353" s="2272" t="s">
        <v>706</v>
      </c>
      <c r="D353" s="2272"/>
      <c r="E353" s="1079">
        <f>SUM(E354:E362)</f>
        <v>592262712</v>
      </c>
      <c r="F353" s="1079">
        <f>SUM(F354:F362)</f>
        <v>370623721</v>
      </c>
      <c r="G353" s="1079">
        <f t="shared" ref="G353" si="82">SUM(G354:G362)</f>
        <v>347909137</v>
      </c>
      <c r="H353" s="1080">
        <f t="shared" si="79"/>
        <v>0.93871254668019477</v>
      </c>
    </row>
    <row r="354" spans="1:9" ht="17.100000000000001" customHeight="1">
      <c r="A354" s="1057"/>
      <c r="B354" s="1069"/>
      <c r="C354" s="1096" t="s">
        <v>26</v>
      </c>
      <c r="D354" s="1097" t="s">
        <v>607</v>
      </c>
      <c r="E354" s="1079">
        <v>40661258</v>
      </c>
      <c r="F354" s="1079">
        <v>46007326</v>
      </c>
      <c r="G354" s="1079">
        <v>40103754</v>
      </c>
      <c r="H354" s="1080">
        <f t="shared" si="79"/>
        <v>0.87168191431077735</v>
      </c>
    </row>
    <row r="355" spans="1:9" ht="17.100000000000001" customHeight="1">
      <c r="A355" s="1057"/>
      <c r="B355" s="1069"/>
      <c r="C355" s="1096" t="s">
        <v>695</v>
      </c>
      <c r="D355" s="1097" t="s">
        <v>607</v>
      </c>
      <c r="E355" s="1079">
        <f>427839682-2125000</f>
        <v>425714682</v>
      </c>
      <c r="F355" s="1079">
        <v>244519776</v>
      </c>
      <c r="G355" s="1079">
        <v>240221344</v>
      </c>
      <c r="H355" s="1080">
        <f t="shared" si="79"/>
        <v>0.9824209228786468</v>
      </c>
    </row>
    <row r="356" spans="1:9" ht="17.100000000000001" customHeight="1">
      <c r="A356" s="1057"/>
      <c r="B356" s="1069"/>
      <c r="C356" s="1096" t="s">
        <v>707</v>
      </c>
      <c r="D356" s="1097" t="s">
        <v>607</v>
      </c>
      <c r="E356" s="1079">
        <v>17673098</v>
      </c>
      <c r="F356" s="1079">
        <v>4806246</v>
      </c>
      <c r="G356" s="1079">
        <v>4430424</v>
      </c>
      <c r="H356" s="1080">
        <f t="shared" si="79"/>
        <v>0.92180550059235422</v>
      </c>
    </row>
    <row r="357" spans="1:9" ht="17.100000000000001" customHeight="1">
      <c r="A357" s="1057"/>
      <c r="B357" s="1069"/>
      <c r="C357" s="1096" t="s">
        <v>98</v>
      </c>
      <c r="D357" s="1097" t="s">
        <v>607</v>
      </c>
      <c r="E357" s="1079">
        <f>79179669-2119838+1744838</f>
        <v>78804669</v>
      </c>
      <c r="F357" s="1079">
        <v>44290417</v>
      </c>
      <c r="G357" s="1079">
        <v>43178530</v>
      </c>
      <c r="H357" s="1080">
        <f t="shared" si="79"/>
        <v>0.97489554004424928</v>
      </c>
    </row>
    <row r="358" spans="1:9" ht="17.100000000000001" customHeight="1">
      <c r="A358" s="1057"/>
      <c r="B358" s="1069"/>
      <c r="C358" s="1096" t="s">
        <v>144</v>
      </c>
      <c r="D358" s="1097" t="s">
        <v>650</v>
      </c>
      <c r="E358" s="1079">
        <v>5897491</v>
      </c>
      <c r="F358" s="1079">
        <v>11647380</v>
      </c>
      <c r="G358" s="1079">
        <v>6258913</v>
      </c>
      <c r="H358" s="1080">
        <f t="shared" si="79"/>
        <v>0.53736660090080346</v>
      </c>
    </row>
    <row r="359" spans="1:9" ht="17.100000000000001" customHeight="1">
      <c r="A359" s="1057"/>
      <c r="B359" s="1069"/>
      <c r="C359" s="1096" t="s">
        <v>675</v>
      </c>
      <c r="D359" s="1097" t="s">
        <v>650</v>
      </c>
      <c r="E359" s="1079">
        <v>19451407</v>
      </c>
      <c r="F359" s="1079">
        <v>14896768</v>
      </c>
      <c r="G359" s="1079">
        <v>10897596</v>
      </c>
      <c r="H359" s="1080">
        <f t="shared" si="79"/>
        <v>0.73154096244232303</v>
      </c>
    </row>
    <row r="360" spans="1:9" ht="17.100000000000001" customHeight="1">
      <c r="A360" s="1057"/>
      <c r="B360" s="1069"/>
      <c r="C360" s="1096" t="s">
        <v>708</v>
      </c>
      <c r="D360" s="1097" t="s">
        <v>650</v>
      </c>
      <c r="E360" s="1079">
        <v>0</v>
      </c>
      <c r="F360" s="1079">
        <v>784982</v>
      </c>
      <c r="G360" s="1079">
        <v>126084</v>
      </c>
      <c r="H360" s="1080">
        <f t="shared" si="79"/>
        <v>0.1606202435215075</v>
      </c>
    </row>
    <row r="361" spans="1:9" ht="17.100000000000001" customHeight="1">
      <c r="A361" s="1057"/>
      <c r="B361" s="1069"/>
      <c r="C361" s="1096" t="s">
        <v>693</v>
      </c>
      <c r="D361" s="1097" t="s">
        <v>650</v>
      </c>
      <c r="E361" s="1079">
        <v>4060107</v>
      </c>
      <c r="F361" s="1079">
        <v>3670824</v>
      </c>
      <c r="G361" s="1079">
        <v>2692491</v>
      </c>
      <c r="H361" s="1080">
        <f t="shared" si="79"/>
        <v>0.73348408967577849</v>
      </c>
    </row>
    <row r="362" spans="1:9" ht="54.75" customHeight="1">
      <c r="A362" s="1057"/>
      <c r="B362" s="1069"/>
      <c r="C362" s="1233" t="s">
        <v>543</v>
      </c>
      <c r="D362" s="1234" t="s">
        <v>612</v>
      </c>
      <c r="E362" s="1103">
        <v>0</v>
      </c>
      <c r="F362" s="1103">
        <v>2</v>
      </c>
      <c r="G362" s="1103">
        <v>1</v>
      </c>
      <c r="H362" s="1104">
        <f t="shared" si="79"/>
        <v>0.5</v>
      </c>
    </row>
    <row r="363" spans="1:9" ht="13.5" customHeight="1">
      <c r="A363" s="1057"/>
      <c r="B363" s="1069"/>
      <c r="C363" s="1098"/>
      <c r="D363" s="1117"/>
      <c r="E363" s="1118"/>
      <c r="F363" s="1118"/>
      <c r="G363" s="1118"/>
      <c r="H363" s="1104"/>
      <c r="I363" s="1235"/>
    </row>
    <row r="364" spans="1:9" ht="17.100000000000001" customHeight="1">
      <c r="A364" s="1057"/>
      <c r="B364" s="1069"/>
      <c r="C364" s="2278" t="s">
        <v>614</v>
      </c>
      <c r="D364" s="2286"/>
      <c r="E364" s="1115">
        <f>SUM(E365:E372)</f>
        <v>563018527</v>
      </c>
      <c r="F364" s="1115">
        <f t="shared" ref="F364:G364" si="83">SUM(F365:F372)</f>
        <v>331765311</v>
      </c>
      <c r="G364" s="1115">
        <f t="shared" si="83"/>
        <v>315264708</v>
      </c>
      <c r="H364" s="1104">
        <f t="shared" si="79"/>
        <v>0.95026423060848575</v>
      </c>
    </row>
    <row r="365" spans="1:9" ht="17.100000000000001" customHeight="1">
      <c r="A365" s="1057"/>
      <c r="B365" s="1069"/>
      <c r="C365" s="1207" t="s">
        <v>26</v>
      </c>
      <c r="D365" s="1236" t="s">
        <v>607</v>
      </c>
      <c r="E365" s="1079">
        <v>13982073</v>
      </c>
      <c r="F365" s="1079">
        <v>13282373</v>
      </c>
      <c r="G365" s="1079">
        <v>9998682</v>
      </c>
      <c r="H365" s="1104">
        <f t="shared" si="79"/>
        <v>0.75277828743403008</v>
      </c>
    </row>
    <row r="366" spans="1:9" ht="17.100000000000001" customHeight="1">
      <c r="A366" s="1057"/>
      <c r="B366" s="1069"/>
      <c r="C366" s="1207" t="s">
        <v>695</v>
      </c>
      <c r="D366" s="1236" t="s">
        <v>607</v>
      </c>
      <c r="E366" s="1079">
        <f>427839682-2125000</f>
        <v>425714682</v>
      </c>
      <c r="F366" s="1079">
        <v>244519776</v>
      </c>
      <c r="G366" s="1079">
        <v>240221344</v>
      </c>
      <c r="H366" s="1104">
        <f t="shared" si="79"/>
        <v>0.9824209228786468</v>
      </c>
    </row>
    <row r="367" spans="1:9" ht="17.100000000000001" customHeight="1">
      <c r="A367" s="1057"/>
      <c r="B367" s="1069"/>
      <c r="C367" s="1207" t="s">
        <v>707</v>
      </c>
      <c r="D367" s="1236" t="s">
        <v>607</v>
      </c>
      <c r="E367" s="1079">
        <v>17673098</v>
      </c>
      <c r="F367" s="1079">
        <v>4806246</v>
      </c>
      <c r="G367" s="1079">
        <v>4430424</v>
      </c>
      <c r="H367" s="1104">
        <f t="shared" si="79"/>
        <v>0.92180550059235422</v>
      </c>
    </row>
    <row r="368" spans="1:9" ht="17.100000000000001" customHeight="1">
      <c r="A368" s="1057"/>
      <c r="B368" s="1069"/>
      <c r="C368" s="1096" t="s">
        <v>98</v>
      </c>
      <c r="D368" s="1097" t="s">
        <v>607</v>
      </c>
      <c r="E368" s="1079">
        <f>79179669-2119838+1744838</f>
        <v>78804669</v>
      </c>
      <c r="F368" s="1079">
        <v>44290417</v>
      </c>
      <c r="G368" s="1079">
        <v>43178530</v>
      </c>
      <c r="H368" s="1104">
        <f t="shared" si="79"/>
        <v>0.97489554004424928</v>
      </c>
    </row>
    <row r="369" spans="1:8" ht="17.100000000000001" customHeight="1">
      <c r="A369" s="1057"/>
      <c r="B369" s="1069"/>
      <c r="C369" s="1096" t="s">
        <v>144</v>
      </c>
      <c r="D369" s="1097" t="s">
        <v>650</v>
      </c>
      <c r="E369" s="1079">
        <v>3332491</v>
      </c>
      <c r="F369" s="1079">
        <v>5513925</v>
      </c>
      <c r="G369" s="1079">
        <v>3719557</v>
      </c>
      <c r="H369" s="1104">
        <f t="shared" si="79"/>
        <v>0.67457518918012127</v>
      </c>
    </row>
    <row r="370" spans="1:8" ht="17.100000000000001" customHeight="1">
      <c r="A370" s="1057"/>
      <c r="B370" s="1069"/>
      <c r="C370" s="1096" t="s">
        <v>675</v>
      </c>
      <c r="D370" s="1097" t="s">
        <v>650</v>
      </c>
      <c r="E370" s="1079">
        <v>19451407</v>
      </c>
      <c r="F370" s="1079">
        <v>14896768</v>
      </c>
      <c r="G370" s="1079">
        <v>10897596</v>
      </c>
      <c r="H370" s="1104">
        <f t="shared" si="79"/>
        <v>0.73154096244232303</v>
      </c>
    </row>
    <row r="371" spans="1:8" ht="17.100000000000001" customHeight="1">
      <c r="A371" s="1057"/>
      <c r="B371" s="1069"/>
      <c r="C371" s="1087" t="s">
        <v>708</v>
      </c>
      <c r="D371" s="1097" t="s">
        <v>650</v>
      </c>
      <c r="E371" s="1079">
        <v>0</v>
      </c>
      <c r="F371" s="1079">
        <v>784982</v>
      </c>
      <c r="G371" s="1079">
        <v>126084</v>
      </c>
      <c r="H371" s="1104">
        <f t="shared" si="79"/>
        <v>0.1606202435215075</v>
      </c>
    </row>
    <row r="372" spans="1:8" ht="17.100000000000001" customHeight="1" thickBot="1">
      <c r="A372" s="1057"/>
      <c r="B372" s="1069"/>
      <c r="C372" s="1087" t="s">
        <v>693</v>
      </c>
      <c r="D372" s="1088" t="s">
        <v>650</v>
      </c>
      <c r="E372" s="1079">
        <v>4060107</v>
      </c>
      <c r="F372" s="1079">
        <v>3670824</v>
      </c>
      <c r="G372" s="1079">
        <v>2692491</v>
      </c>
      <c r="H372" s="1104">
        <f t="shared" si="79"/>
        <v>0.73348408967577849</v>
      </c>
    </row>
    <row r="373" spans="1:8" ht="15" customHeight="1" thickBot="1">
      <c r="A373" s="1057"/>
      <c r="B373" s="1144" t="s">
        <v>195</v>
      </c>
      <c r="C373" s="1145"/>
      <c r="D373" s="1146" t="s">
        <v>196</v>
      </c>
      <c r="E373" s="1147">
        <f>E374+E378</f>
        <v>2945000</v>
      </c>
      <c r="F373" s="1147">
        <f t="shared" ref="F373:G373" si="84">F374+F378</f>
        <v>4941000</v>
      </c>
      <c r="G373" s="1147">
        <f t="shared" si="84"/>
        <v>3883571</v>
      </c>
      <c r="H373" s="1148">
        <f t="shared" si="79"/>
        <v>0.78598886865007078</v>
      </c>
    </row>
    <row r="374" spans="1:8" ht="15" customHeight="1">
      <c r="A374" s="1057"/>
      <c r="B374" s="1217"/>
      <c r="C374" s="2112" t="s">
        <v>560</v>
      </c>
      <c r="D374" s="2112"/>
      <c r="E374" s="1237">
        <f>E375</f>
        <v>0</v>
      </c>
      <c r="F374" s="1237">
        <f t="shared" ref="F374:G375" si="85">F375</f>
        <v>751000</v>
      </c>
      <c r="G374" s="1237">
        <f t="shared" si="85"/>
        <v>593571</v>
      </c>
      <c r="H374" s="1238">
        <f t="shared" si="79"/>
        <v>0.79037416777629832</v>
      </c>
    </row>
    <row r="375" spans="1:8" ht="15" customHeight="1">
      <c r="A375" s="1057"/>
      <c r="B375" s="1217"/>
      <c r="C375" s="2272" t="s">
        <v>647</v>
      </c>
      <c r="D375" s="2272"/>
      <c r="E375" s="1239">
        <f>E376</f>
        <v>0</v>
      </c>
      <c r="F375" s="1239">
        <f t="shared" si="85"/>
        <v>751000</v>
      </c>
      <c r="G375" s="1239">
        <f t="shared" si="85"/>
        <v>593571</v>
      </c>
      <c r="H375" s="1240">
        <f t="shared" si="79"/>
        <v>0.79037416777629832</v>
      </c>
    </row>
    <row r="376" spans="1:8" ht="33.75" customHeight="1">
      <c r="A376" s="1057"/>
      <c r="B376" s="1217"/>
      <c r="C376" s="1159" t="s">
        <v>19</v>
      </c>
      <c r="D376" s="1178" t="s">
        <v>691</v>
      </c>
      <c r="E376" s="1239">
        <v>0</v>
      </c>
      <c r="F376" s="1239">
        <v>751000</v>
      </c>
      <c r="G376" s="1239">
        <v>593571</v>
      </c>
      <c r="H376" s="1240">
        <f t="shared" si="79"/>
        <v>0.79037416777629832</v>
      </c>
    </row>
    <row r="377" spans="1:8" ht="15" customHeight="1">
      <c r="A377" s="1057"/>
      <c r="B377" s="1217"/>
      <c r="C377" s="1241"/>
      <c r="D377" s="1242"/>
      <c r="E377" s="1243"/>
      <c r="F377" s="1243"/>
      <c r="G377" s="1243"/>
      <c r="H377" s="1244"/>
    </row>
    <row r="378" spans="1:8">
      <c r="A378" s="1057"/>
      <c r="B378" s="1069"/>
      <c r="C378" s="2148" t="s">
        <v>709</v>
      </c>
      <c r="D378" s="2148"/>
      <c r="E378" s="1063">
        <f t="shared" ref="E378:G379" si="86">E379</f>
        <v>2945000</v>
      </c>
      <c r="F378" s="1063">
        <f t="shared" si="86"/>
        <v>4190000</v>
      </c>
      <c r="G378" s="1063">
        <f t="shared" si="86"/>
        <v>3290000</v>
      </c>
      <c r="H378" s="1064">
        <f t="shared" si="79"/>
        <v>0.78520286396181382</v>
      </c>
    </row>
    <row r="379" spans="1:8">
      <c r="A379" s="1057"/>
      <c r="B379" s="1069"/>
      <c r="C379" s="2272" t="s">
        <v>710</v>
      </c>
      <c r="D379" s="2272"/>
      <c r="E379" s="1079">
        <f t="shared" si="86"/>
        <v>2945000</v>
      </c>
      <c r="F379" s="1079">
        <f t="shared" si="86"/>
        <v>4190000</v>
      </c>
      <c r="G379" s="1079">
        <f t="shared" si="86"/>
        <v>3290000</v>
      </c>
      <c r="H379" s="1080">
        <f t="shared" si="79"/>
        <v>0.78520286396181382</v>
      </c>
    </row>
    <row r="380" spans="1:8" ht="39" thickBot="1">
      <c r="A380" s="1057"/>
      <c r="B380" s="1069"/>
      <c r="C380" s="1087" t="s">
        <v>22</v>
      </c>
      <c r="D380" s="1088" t="s">
        <v>711</v>
      </c>
      <c r="E380" s="1185">
        <v>2945000</v>
      </c>
      <c r="F380" s="1185">
        <v>4190000</v>
      </c>
      <c r="G380" s="1185">
        <v>3290000</v>
      </c>
      <c r="H380" s="1186">
        <f t="shared" si="79"/>
        <v>0.78520286396181382</v>
      </c>
    </row>
    <row r="381" spans="1:8" ht="15" customHeight="1" thickBot="1">
      <c r="A381" s="1057"/>
      <c r="B381" s="1144" t="s">
        <v>70</v>
      </c>
      <c r="C381" s="1145"/>
      <c r="D381" s="1146" t="s">
        <v>71</v>
      </c>
      <c r="E381" s="1219">
        <f>E382</f>
        <v>0</v>
      </c>
      <c r="F381" s="1219">
        <f t="shared" ref="F381:G383" si="87">F382</f>
        <v>420000</v>
      </c>
      <c r="G381" s="1219">
        <f t="shared" si="87"/>
        <v>410000</v>
      </c>
      <c r="H381" s="1220">
        <f t="shared" si="79"/>
        <v>0.97619047619047616</v>
      </c>
    </row>
    <row r="382" spans="1:8" ht="14.25" customHeight="1">
      <c r="A382" s="1057"/>
      <c r="B382" s="1069"/>
      <c r="C382" s="2213" t="s">
        <v>605</v>
      </c>
      <c r="D382" s="2304"/>
      <c r="E382" s="1081">
        <f>E383</f>
        <v>0</v>
      </c>
      <c r="F382" s="1081">
        <f t="shared" si="87"/>
        <v>420000</v>
      </c>
      <c r="G382" s="1081">
        <f t="shared" si="87"/>
        <v>410000</v>
      </c>
      <c r="H382" s="1082">
        <f t="shared" si="79"/>
        <v>0.97619047619047616</v>
      </c>
    </row>
    <row r="383" spans="1:8" ht="16.5" customHeight="1">
      <c r="A383" s="1057"/>
      <c r="B383" s="1069"/>
      <c r="C383" s="2171" t="s">
        <v>710</v>
      </c>
      <c r="D383" s="2171"/>
      <c r="E383" s="1079">
        <f>E384</f>
        <v>0</v>
      </c>
      <c r="F383" s="1079">
        <f t="shared" si="87"/>
        <v>420000</v>
      </c>
      <c r="G383" s="1079">
        <f t="shared" si="87"/>
        <v>410000</v>
      </c>
      <c r="H383" s="1080">
        <f t="shared" si="79"/>
        <v>0.97619047619047616</v>
      </c>
    </row>
    <row r="384" spans="1:8" ht="42" customHeight="1" thickBot="1">
      <c r="A384" s="1057"/>
      <c r="B384" s="1069"/>
      <c r="C384" s="1087" t="s">
        <v>22</v>
      </c>
      <c r="D384" s="1088" t="s">
        <v>711</v>
      </c>
      <c r="E384" s="1089">
        <v>0</v>
      </c>
      <c r="F384" s="1089">
        <v>420000</v>
      </c>
      <c r="G384" s="1089">
        <v>410000</v>
      </c>
      <c r="H384" s="1090">
        <f t="shared" si="79"/>
        <v>0.97619047619047616</v>
      </c>
    </row>
    <row r="385" spans="1:8" ht="14.25" customHeight="1" thickBot="1">
      <c r="A385" s="1057"/>
      <c r="B385" s="1144" t="s">
        <v>130</v>
      </c>
      <c r="C385" s="1145"/>
      <c r="D385" s="1146" t="s">
        <v>131</v>
      </c>
      <c r="E385" s="1245">
        <f>E386</f>
        <v>0</v>
      </c>
      <c r="F385" s="1245">
        <f t="shared" ref="F385:G387" si="88">F386</f>
        <v>175800</v>
      </c>
      <c r="G385" s="1245">
        <f t="shared" si="88"/>
        <v>175800</v>
      </c>
      <c r="H385" s="1246">
        <f t="shared" si="79"/>
        <v>1</v>
      </c>
    </row>
    <row r="386" spans="1:8" ht="15.75" customHeight="1">
      <c r="A386" s="1057"/>
      <c r="B386" s="1069"/>
      <c r="C386" s="2213" t="s">
        <v>605</v>
      </c>
      <c r="D386" s="2304"/>
      <c r="E386" s="1081">
        <f>E387</f>
        <v>0</v>
      </c>
      <c r="F386" s="1081">
        <f t="shared" si="88"/>
        <v>175800</v>
      </c>
      <c r="G386" s="1081">
        <f t="shared" si="88"/>
        <v>175800</v>
      </c>
      <c r="H386" s="1082">
        <f t="shared" si="79"/>
        <v>1</v>
      </c>
    </row>
    <row r="387" spans="1:8" ht="15.75" customHeight="1">
      <c r="A387" s="1057"/>
      <c r="B387" s="1069"/>
      <c r="C387" s="2171" t="s">
        <v>710</v>
      </c>
      <c r="D387" s="2171"/>
      <c r="E387" s="1185">
        <f>E388</f>
        <v>0</v>
      </c>
      <c r="F387" s="1185">
        <f t="shared" si="88"/>
        <v>175800</v>
      </c>
      <c r="G387" s="1185">
        <f t="shared" si="88"/>
        <v>175800</v>
      </c>
      <c r="H387" s="1186">
        <f t="shared" si="79"/>
        <v>1</v>
      </c>
    </row>
    <row r="388" spans="1:8" ht="42" customHeight="1" thickBot="1">
      <c r="A388" s="1057"/>
      <c r="B388" s="1069"/>
      <c r="C388" s="1087" t="s">
        <v>22</v>
      </c>
      <c r="D388" s="1088" t="s">
        <v>711</v>
      </c>
      <c r="E388" s="1089">
        <v>0</v>
      </c>
      <c r="F388" s="1089">
        <v>175800</v>
      </c>
      <c r="G388" s="1089">
        <v>175800</v>
      </c>
      <c r="H388" s="1090">
        <f t="shared" si="79"/>
        <v>1</v>
      </c>
    </row>
    <row r="389" spans="1:8" ht="15.75" customHeight="1" thickBot="1">
      <c r="A389" s="1057"/>
      <c r="B389" s="1144" t="s">
        <v>132</v>
      </c>
      <c r="C389" s="1145"/>
      <c r="D389" s="1146" t="s">
        <v>11</v>
      </c>
      <c r="E389" s="1147">
        <f>E390+E402</f>
        <v>572743</v>
      </c>
      <c r="F389" s="1147">
        <f t="shared" ref="F389:G389" si="89">F390+F402</f>
        <v>6672643</v>
      </c>
      <c r="G389" s="1147">
        <f t="shared" si="89"/>
        <v>6629777</v>
      </c>
      <c r="H389" s="1148">
        <f t="shared" si="79"/>
        <v>0.99357585892126998</v>
      </c>
    </row>
    <row r="390" spans="1:8" ht="17.100000000000001" customHeight="1">
      <c r="A390" s="1057"/>
      <c r="B390" s="2258"/>
      <c r="C390" s="2112" t="s">
        <v>560</v>
      </c>
      <c r="D390" s="2112"/>
      <c r="E390" s="1063">
        <f t="shared" ref="E390:G390" si="90">E391</f>
        <v>572743</v>
      </c>
      <c r="F390" s="1063">
        <f t="shared" si="90"/>
        <v>612743</v>
      </c>
      <c r="G390" s="1063">
        <f t="shared" si="90"/>
        <v>599877</v>
      </c>
      <c r="H390" s="1064">
        <f t="shared" si="79"/>
        <v>0.97900261610495753</v>
      </c>
    </row>
    <row r="391" spans="1:8" ht="17.100000000000001" customHeight="1">
      <c r="A391" s="1057"/>
      <c r="B391" s="2258"/>
      <c r="C391" s="2276" t="s">
        <v>561</v>
      </c>
      <c r="D391" s="2276"/>
      <c r="E391" s="1079">
        <f>E392+E398</f>
        <v>572743</v>
      </c>
      <c r="F391" s="1079">
        <f t="shared" ref="F391:G391" si="91">F392+F398</f>
        <v>612743</v>
      </c>
      <c r="G391" s="1079">
        <f t="shared" si="91"/>
        <v>599877</v>
      </c>
      <c r="H391" s="1080">
        <f t="shared" si="79"/>
        <v>0.97900261610495753</v>
      </c>
    </row>
    <row r="392" spans="1:8" ht="17.100000000000001" customHeight="1">
      <c r="A392" s="1057"/>
      <c r="B392" s="2258"/>
      <c r="C392" s="2277" t="s">
        <v>562</v>
      </c>
      <c r="D392" s="2277"/>
      <c r="E392" s="1115">
        <f>SUM(E393:E396)</f>
        <v>483353</v>
      </c>
      <c r="F392" s="1115">
        <f t="shared" ref="F392:G392" si="92">SUM(F393:F396)</f>
        <v>483353</v>
      </c>
      <c r="G392" s="1115">
        <f t="shared" si="92"/>
        <v>470752</v>
      </c>
      <c r="H392" s="1116">
        <f t="shared" si="79"/>
        <v>0.97393002629548175</v>
      </c>
    </row>
    <row r="393" spans="1:8" ht="17.100000000000001" customHeight="1">
      <c r="A393" s="1057"/>
      <c r="B393" s="2258"/>
      <c r="C393" s="1096" t="s">
        <v>145</v>
      </c>
      <c r="D393" s="1097" t="s">
        <v>563</v>
      </c>
      <c r="E393" s="1079">
        <v>376596</v>
      </c>
      <c r="F393" s="1079">
        <v>368096</v>
      </c>
      <c r="G393" s="1079">
        <v>364633</v>
      </c>
      <c r="H393" s="1080">
        <f t="shared" si="79"/>
        <v>0.99059212814048514</v>
      </c>
    </row>
    <row r="394" spans="1:8" ht="17.100000000000001" customHeight="1">
      <c r="A394" s="1057"/>
      <c r="B394" s="2258"/>
      <c r="C394" s="1096" t="s">
        <v>564</v>
      </c>
      <c r="D394" s="1097" t="s">
        <v>565</v>
      </c>
      <c r="E394" s="1079">
        <v>26771</v>
      </c>
      <c r="F394" s="1079">
        <v>31271</v>
      </c>
      <c r="G394" s="1079">
        <v>31030</v>
      </c>
      <c r="H394" s="1080">
        <f t="shared" si="79"/>
        <v>0.99229317898372293</v>
      </c>
    </row>
    <row r="395" spans="1:8" ht="17.100000000000001" customHeight="1">
      <c r="A395" s="1057"/>
      <c r="B395" s="2258"/>
      <c r="C395" s="1096" t="s">
        <v>146</v>
      </c>
      <c r="D395" s="1097" t="s">
        <v>566</v>
      </c>
      <c r="E395" s="1079">
        <v>79986</v>
      </c>
      <c r="F395" s="1079">
        <v>74986</v>
      </c>
      <c r="G395" s="1079">
        <v>67388</v>
      </c>
      <c r="H395" s="1080">
        <f t="shared" si="79"/>
        <v>0.89867441922492197</v>
      </c>
    </row>
    <row r="396" spans="1:8" ht="17.100000000000001" customHeight="1">
      <c r="A396" s="1057"/>
      <c r="B396" s="2258"/>
      <c r="C396" s="1161" t="s">
        <v>147</v>
      </c>
      <c r="D396" s="1162" t="s">
        <v>567</v>
      </c>
      <c r="E396" s="1079">
        <v>0</v>
      </c>
      <c r="F396" s="1079">
        <v>9000</v>
      </c>
      <c r="G396" s="1079">
        <v>7701</v>
      </c>
      <c r="H396" s="1080">
        <f t="shared" si="79"/>
        <v>0.85566666666666669</v>
      </c>
    </row>
    <row r="397" spans="1:8" ht="17.100000000000001" customHeight="1">
      <c r="A397" s="1057"/>
      <c r="B397" s="2258"/>
      <c r="C397" s="1178"/>
      <c r="D397" s="1178"/>
      <c r="E397" s="1079"/>
      <c r="F397" s="1079"/>
      <c r="G397" s="1079"/>
      <c r="H397" s="1080"/>
    </row>
    <row r="398" spans="1:8" ht="17.100000000000001" customHeight="1">
      <c r="A398" s="1057"/>
      <c r="B398" s="2258"/>
      <c r="C398" s="2278" t="s">
        <v>570</v>
      </c>
      <c r="D398" s="2278"/>
      <c r="E398" s="1115">
        <f>SUM(E399:E400)</f>
        <v>89390</v>
      </c>
      <c r="F398" s="1115">
        <f t="shared" ref="F398:G398" si="93">SUM(F399:F400)</f>
        <v>129390</v>
      </c>
      <c r="G398" s="1115">
        <f t="shared" si="93"/>
        <v>129125</v>
      </c>
      <c r="H398" s="1116">
        <f t="shared" si="79"/>
        <v>0.99795192827884693</v>
      </c>
    </row>
    <row r="399" spans="1:8" ht="17.100000000000001" customHeight="1">
      <c r="A399" s="1057"/>
      <c r="B399" s="2258"/>
      <c r="C399" s="1161" t="s">
        <v>571</v>
      </c>
      <c r="D399" s="1247" t="s">
        <v>572</v>
      </c>
      <c r="E399" s="1185">
        <v>9390</v>
      </c>
      <c r="F399" s="1185">
        <v>9390</v>
      </c>
      <c r="G399" s="1185">
        <v>9125</v>
      </c>
      <c r="H399" s="1186">
        <f t="shared" si="79"/>
        <v>0.97177848775292863</v>
      </c>
    </row>
    <row r="400" spans="1:8" ht="17.100000000000001" customHeight="1">
      <c r="A400" s="1057"/>
      <c r="B400" s="2258"/>
      <c r="C400" s="1087" t="s">
        <v>25</v>
      </c>
      <c r="D400" s="1088" t="s">
        <v>581</v>
      </c>
      <c r="E400" s="1185">
        <v>80000</v>
      </c>
      <c r="F400" s="1185">
        <v>120000</v>
      </c>
      <c r="G400" s="1185">
        <v>120000</v>
      </c>
      <c r="H400" s="1186">
        <f t="shared" si="79"/>
        <v>1</v>
      </c>
    </row>
    <row r="401" spans="1:8" ht="17.100000000000001" customHeight="1">
      <c r="A401" s="1057"/>
      <c r="B401" s="1093"/>
      <c r="C401" s="1248"/>
      <c r="D401" s="1212"/>
      <c r="E401" s="1185"/>
      <c r="F401" s="1185"/>
      <c r="G401" s="1185"/>
      <c r="H401" s="1186"/>
    </row>
    <row r="402" spans="1:8" ht="17.100000000000001" customHeight="1">
      <c r="A402" s="1057"/>
      <c r="B402" s="1093"/>
      <c r="C402" s="2213" t="s">
        <v>605</v>
      </c>
      <c r="D402" s="2304"/>
      <c r="E402" s="1083">
        <f>E403+E406</f>
        <v>0</v>
      </c>
      <c r="F402" s="1083">
        <f t="shared" ref="F402:G402" si="94">F403+F406</f>
        <v>6059900</v>
      </c>
      <c r="G402" s="1083">
        <f t="shared" si="94"/>
        <v>6029900</v>
      </c>
      <c r="H402" s="1084">
        <f t="shared" si="79"/>
        <v>0.99504942325780954</v>
      </c>
    </row>
    <row r="403" spans="1:8" ht="17.100000000000001" customHeight="1">
      <c r="A403" s="1057"/>
      <c r="B403" s="1093"/>
      <c r="C403" s="2171" t="s">
        <v>710</v>
      </c>
      <c r="D403" s="2171"/>
      <c r="E403" s="1079">
        <f>E404</f>
        <v>0</v>
      </c>
      <c r="F403" s="1079">
        <f t="shared" ref="F403:G403" si="95">F404</f>
        <v>60000</v>
      </c>
      <c r="G403" s="1079">
        <f t="shared" si="95"/>
        <v>30000</v>
      </c>
      <c r="H403" s="1080">
        <f t="shared" si="79"/>
        <v>0.5</v>
      </c>
    </row>
    <row r="404" spans="1:8" ht="42.75" customHeight="1">
      <c r="A404" s="1057"/>
      <c r="B404" s="1093"/>
      <c r="C404" s="1087" t="s">
        <v>22</v>
      </c>
      <c r="D404" s="1088" t="s">
        <v>711</v>
      </c>
      <c r="E404" s="1081">
        <v>0</v>
      </c>
      <c r="F404" s="1081">
        <v>60000</v>
      </c>
      <c r="G404" s="1081">
        <v>30000</v>
      </c>
      <c r="H404" s="1082">
        <f t="shared" si="79"/>
        <v>0.5</v>
      </c>
    </row>
    <row r="405" spans="1:8" ht="16.5" customHeight="1">
      <c r="A405" s="1057"/>
      <c r="B405" s="1093"/>
      <c r="C405" s="1249"/>
      <c r="D405" s="1250"/>
      <c r="E405" s="1079"/>
      <c r="F405" s="1079"/>
      <c r="G405" s="1079"/>
      <c r="H405" s="1080"/>
    </row>
    <row r="406" spans="1:8" ht="15" customHeight="1">
      <c r="A406" s="1057"/>
      <c r="B406" s="1093"/>
      <c r="C406" s="2234" t="s">
        <v>712</v>
      </c>
      <c r="D406" s="2235"/>
      <c r="E406" s="1079">
        <f>E407</f>
        <v>0</v>
      </c>
      <c r="F406" s="1079">
        <f t="shared" ref="F406:G406" si="96">F407</f>
        <v>5999900</v>
      </c>
      <c r="G406" s="1079">
        <f t="shared" si="96"/>
        <v>5999900</v>
      </c>
      <c r="H406" s="1080">
        <f t="shared" si="79"/>
        <v>1</v>
      </c>
    </row>
    <row r="407" spans="1:8" ht="42.75" customHeight="1" thickBot="1">
      <c r="A407" s="1057"/>
      <c r="B407" s="1093"/>
      <c r="C407" s="1251" t="s">
        <v>713</v>
      </c>
      <c r="D407" s="1252" t="s">
        <v>714</v>
      </c>
      <c r="E407" s="1089">
        <v>0</v>
      </c>
      <c r="F407" s="1089">
        <v>5999900</v>
      </c>
      <c r="G407" s="1089">
        <v>5999900</v>
      </c>
      <c r="H407" s="1082">
        <f t="shared" si="79"/>
        <v>1</v>
      </c>
    </row>
    <row r="408" spans="1:8" ht="17.100000000000001" customHeight="1" thickBot="1">
      <c r="A408" s="1051" t="s">
        <v>72</v>
      </c>
      <c r="B408" s="1168"/>
      <c r="C408" s="1169"/>
      <c r="D408" s="1170" t="s">
        <v>715</v>
      </c>
      <c r="E408" s="1171">
        <f>E409+E433</f>
        <v>971569</v>
      </c>
      <c r="F408" s="1171">
        <f>F409+F433</f>
        <v>1327870</v>
      </c>
      <c r="G408" s="1171">
        <f>G409+G433</f>
        <v>1234886</v>
      </c>
      <c r="H408" s="1172">
        <f t="shared" si="79"/>
        <v>0.92997507286104819</v>
      </c>
    </row>
    <row r="409" spans="1:8" ht="17.100000000000001" customHeight="1" thickBot="1">
      <c r="A409" s="1057"/>
      <c r="B409" s="1144" t="s">
        <v>74</v>
      </c>
      <c r="C409" s="1145"/>
      <c r="D409" s="1146" t="s">
        <v>75</v>
      </c>
      <c r="E409" s="1147">
        <f>E410+E430</f>
        <v>650000</v>
      </c>
      <c r="F409" s="1147">
        <f>F410+F430</f>
        <v>728083</v>
      </c>
      <c r="G409" s="1147">
        <f>G410+G430</f>
        <v>686105</v>
      </c>
      <c r="H409" s="1148">
        <f t="shared" si="79"/>
        <v>0.94234448545014782</v>
      </c>
    </row>
    <row r="410" spans="1:8" ht="17.100000000000001" customHeight="1">
      <c r="A410" s="1057"/>
      <c r="B410" s="1069"/>
      <c r="C410" s="2112" t="s">
        <v>560</v>
      </c>
      <c r="D410" s="2112"/>
      <c r="E410" s="1063">
        <f>E411+E415+E418</f>
        <v>650000</v>
      </c>
      <c r="F410" s="1063">
        <f t="shared" ref="F410:G410" si="97">F411+F415+F418</f>
        <v>708083</v>
      </c>
      <c r="G410" s="1063">
        <f t="shared" si="97"/>
        <v>666105</v>
      </c>
      <c r="H410" s="1064">
        <f t="shared" si="79"/>
        <v>0.94071598950970436</v>
      </c>
    </row>
    <row r="411" spans="1:8" ht="17.100000000000001" customHeight="1">
      <c r="A411" s="1057"/>
      <c r="B411" s="1069"/>
      <c r="C411" s="2276" t="s">
        <v>561</v>
      </c>
      <c r="D411" s="2276"/>
      <c r="E411" s="1079">
        <f t="shared" ref="E411:G412" si="98">E412</f>
        <v>550000</v>
      </c>
      <c r="F411" s="1079">
        <f t="shared" si="98"/>
        <v>550000</v>
      </c>
      <c r="G411" s="1079">
        <f t="shared" si="98"/>
        <v>550000</v>
      </c>
      <c r="H411" s="1080">
        <f t="shared" si="79"/>
        <v>1</v>
      </c>
    </row>
    <row r="412" spans="1:8" ht="17.100000000000001" customHeight="1">
      <c r="A412" s="1057"/>
      <c r="B412" s="1069"/>
      <c r="C412" s="2278" t="s">
        <v>570</v>
      </c>
      <c r="D412" s="2278"/>
      <c r="E412" s="1115">
        <f t="shared" si="98"/>
        <v>550000</v>
      </c>
      <c r="F412" s="1115">
        <f t="shared" si="98"/>
        <v>550000</v>
      </c>
      <c r="G412" s="1115">
        <f t="shared" si="98"/>
        <v>550000</v>
      </c>
      <c r="H412" s="1116">
        <f t="shared" si="79"/>
        <v>1</v>
      </c>
    </row>
    <row r="413" spans="1:8" ht="17.100000000000001" customHeight="1">
      <c r="A413" s="1057"/>
      <c r="B413" s="1069"/>
      <c r="C413" s="1096" t="s">
        <v>589</v>
      </c>
      <c r="D413" s="1097" t="s">
        <v>590</v>
      </c>
      <c r="E413" s="1079">
        <v>550000</v>
      </c>
      <c r="F413" s="1079">
        <v>550000</v>
      </c>
      <c r="G413" s="1079">
        <v>550000</v>
      </c>
      <c r="H413" s="1080">
        <f t="shared" ref="H413:H488" si="99">G413/F413</f>
        <v>1</v>
      </c>
    </row>
    <row r="414" spans="1:8" ht="17.100000000000001" customHeight="1">
      <c r="A414" s="1057"/>
      <c r="B414" s="1069"/>
      <c r="C414" s="1207"/>
      <c r="D414" s="1162"/>
      <c r="E414" s="1079"/>
      <c r="F414" s="1079"/>
      <c r="G414" s="1079"/>
      <c r="H414" s="1080"/>
    </row>
    <row r="415" spans="1:8" ht="17.100000000000001" customHeight="1">
      <c r="A415" s="1057"/>
      <c r="B415" s="1069"/>
      <c r="C415" s="2272" t="s">
        <v>647</v>
      </c>
      <c r="D415" s="2272"/>
      <c r="E415" s="1079">
        <f t="shared" ref="E415:G415" si="100">E416</f>
        <v>100000</v>
      </c>
      <c r="F415" s="1079">
        <f t="shared" si="100"/>
        <v>100000</v>
      </c>
      <c r="G415" s="1079">
        <f t="shared" si="100"/>
        <v>99500</v>
      </c>
      <c r="H415" s="1080">
        <f t="shared" si="99"/>
        <v>0.995</v>
      </c>
    </row>
    <row r="416" spans="1:8" ht="38.25">
      <c r="A416" s="1057"/>
      <c r="B416" s="1069"/>
      <c r="C416" s="1096" t="s">
        <v>125</v>
      </c>
      <c r="D416" s="1097" t="s">
        <v>716</v>
      </c>
      <c r="E416" s="1079">
        <v>100000</v>
      </c>
      <c r="F416" s="1079">
        <v>100000</v>
      </c>
      <c r="G416" s="1079">
        <v>99500</v>
      </c>
      <c r="H416" s="1080">
        <f t="shared" si="99"/>
        <v>0.995</v>
      </c>
    </row>
    <row r="417" spans="1:8">
      <c r="A417" s="1057"/>
      <c r="B417" s="1069"/>
      <c r="C417" s="1207"/>
      <c r="D417" s="1162"/>
      <c r="E417" s="1079"/>
      <c r="F417" s="1079"/>
      <c r="G417" s="1079"/>
      <c r="H417" s="1080"/>
    </row>
    <row r="418" spans="1:8" ht="17.100000000000001" customHeight="1">
      <c r="A418" s="1057"/>
      <c r="B418" s="1069"/>
      <c r="C418" s="2276" t="s">
        <v>616</v>
      </c>
      <c r="D418" s="2276"/>
      <c r="E418" s="1079">
        <f>SUM(E419:E428)</f>
        <v>0</v>
      </c>
      <c r="F418" s="1079">
        <f t="shared" ref="F418:G418" si="101">SUM(F419:F428)</f>
        <v>58083</v>
      </c>
      <c r="G418" s="1079">
        <f t="shared" si="101"/>
        <v>16605</v>
      </c>
      <c r="H418" s="1080">
        <f t="shared" si="99"/>
        <v>0.28588399359537214</v>
      </c>
    </row>
    <row r="419" spans="1:8" ht="17.100000000000001" customHeight="1">
      <c r="A419" s="1057"/>
      <c r="B419" s="1069"/>
      <c r="C419" s="1096" t="s">
        <v>620</v>
      </c>
      <c r="D419" s="1097" t="s">
        <v>563</v>
      </c>
      <c r="E419" s="1079">
        <v>0</v>
      </c>
      <c r="F419" s="1079">
        <v>2128</v>
      </c>
      <c r="G419" s="1079">
        <v>970</v>
      </c>
      <c r="H419" s="1080">
        <f t="shared" si="99"/>
        <v>0.45582706766917291</v>
      </c>
    </row>
    <row r="420" spans="1:8" ht="17.100000000000001" customHeight="1">
      <c r="A420" s="1057"/>
      <c r="B420" s="1069"/>
      <c r="C420" s="1096" t="s">
        <v>621</v>
      </c>
      <c r="D420" s="1097" t="s">
        <v>563</v>
      </c>
      <c r="E420" s="1079">
        <v>0</v>
      </c>
      <c r="F420" s="1079">
        <v>375</v>
      </c>
      <c r="G420" s="1079">
        <v>171</v>
      </c>
      <c r="H420" s="1080">
        <f t="shared" si="99"/>
        <v>0.45600000000000002</v>
      </c>
    </row>
    <row r="421" spans="1:8" ht="17.100000000000001" customHeight="1">
      <c r="A421" s="1057"/>
      <c r="B421" s="1069"/>
      <c r="C421" s="1096" t="s">
        <v>624</v>
      </c>
      <c r="D421" s="1097" t="s">
        <v>566</v>
      </c>
      <c r="E421" s="1079">
        <v>0</v>
      </c>
      <c r="F421" s="1079">
        <v>369</v>
      </c>
      <c r="G421" s="1079">
        <v>168</v>
      </c>
      <c r="H421" s="1080">
        <f t="shared" si="99"/>
        <v>0.45528455284552843</v>
      </c>
    </row>
    <row r="422" spans="1:8" ht="17.100000000000001" customHeight="1">
      <c r="A422" s="1057"/>
      <c r="B422" s="1069"/>
      <c r="C422" s="1096" t="s">
        <v>625</v>
      </c>
      <c r="D422" s="1097" t="s">
        <v>566</v>
      </c>
      <c r="E422" s="1079">
        <v>0</v>
      </c>
      <c r="F422" s="1079">
        <v>66</v>
      </c>
      <c r="G422" s="1079">
        <v>30</v>
      </c>
      <c r="H422" s="1080">
        <f t="shared" si="99"/>
        <v>0.45454545454545453</v>
      </c>
    </row>
    <row r="423" spans="1:8" ht="17.100000000000001" customHeight="1">
      <c r="A423" s="1057"/>
      <c r="B423" s="1069"/>
      <c r="C423" s="1096" t="s">
        <v>626</v>
      </c>
      <c r="D423" s="1097" t="s">
        <v>567</v>
      </c>
      <c r="E423" s="1079">
        <v>0</v>
      </c>
      <c r="F423" s="1079">
        <v>52</v>
      </c>
      <c r="G423" s="1079">
        <v>24</v>
      </c>
      <c r="H423" s="1080">
        <f t="shared" si="99"/>
        <v>0.46153846153846156</v>
      </c>
    </row>
    <row r="424" spans="1:8" ht="17.100000000000001" customHeight="1">
      <c r="A424" s="1057"/>
      <c r="B424" s="1069"/>
      <c r="C424" s="1096" t="s">
        <v>627</v>
      </c>
      <c r="D424" s="1097" t="s">
        <v>567</v>
      </c>
      <c r="E424" s="1079">
        <v>0</v>
      </c>
      <c r="F424" s="1079">
        <v>10</v>
      </c>
      <c r="G424" s="1079">
        <v>4</v>
      </c>
      <c r="H424" s="1080">
        <f t="shared" si="99"/>
        <v>0.4</v>
      </c>
    </row>
    <row r="425" spans="1:8" ht="17.100000000000001" customHeight="1">
      <c r="A425" s="1057"/>
      <c r="B425" s="1069"/>
      <c r="C425" s="1096" t="s">
        <v>637</v>
      </c>
      <c r="D425" s="1097" t="s">
        <v>581</v>
      </c>
      <c r="E425" s="1079">
        <v>0</v>
      </c>
      <c r="F425" s="1079">
        <v>45971</v>
      </c>
      <c r="G425" s="1079">
        <v>12952</v>
      </c>
      <c r="H425" s="1080">
        <f t="shared" si="99"/>
        <v>0.28174283787605231</v>
      </c>
    </row>
    <row r="426" spans="1:8" ht="14.25" customHeight="1">
      <c r="A426" s="1057"/>
      <c r="B426" s="1069"/>
      <c r="C426" s="1096" t="s">
        <v>638</v>
      </c>
      <c r="D426" s="1097" t="s">
        <v>581</v>
      </c>
      <c r="E426" s="1079">
        <v>0</v>
      </c>
      <c r="F426" s="1079">
        <v>8112</v>
      </c>
      <c r="G426" s="1079">
        <v>2286</v>
      </c>
      <c r="H426" s="1080">
        <f t="shared" si="99"/>
        <v>0.28180473372781067</v>
      </c>
    </row>
    <row r="427" spans="1:8" ht="17.100000000000001" customHeight="1">
      <c r="A427" s="1057"/>
      <c r="B427" s="1069"/>
      <c r="C427" s="1096" t="s">
        <v>641</v>
      </c>
      <c r="D427" s="1097" t="s">
        <v>588</v>
      </c>
      <c r="E427" s="1079">
        <v>0</v>
      </c>
      <c r="F427" s="1079">
        <v>850</v>
      </c>
      <c r="G427" s="1079">
        <v>0</v>
      </c>
      <c r="H427" s="1080">
        <f t="shared" si="99"/>
        <v>0</v>
      </c>
    </row>
    <row r="428" spans="1:8" ht="17.100000000000001" customHeight="1">
      <c r="A428" s="1057"/>
      <c r="B428" s="1069"/>
      <c r="C428" s="1096" t="s">
        <v>642</v>
      </c>
      <c r="D428" s="1097" t="s">
        <v>588</v>
      </c>
      <c r="E428" s="1079">
        <v>0</v>
      </c>
      <c r="F428" s="1079">
        <v>150</v>
      </c>
      <c r="G428" s="1079">
        <v>0</v>
      </c>
      <c r="H428" s="1080">
        <f t="shared" si="99"/>
        <v>0</v>
      </c>
    </row>
    <row r="429" spans="1:8">
      <c r="A429" s="1057"/>
      <c r="B429" s="1069"/>
      <c r="C429" s="2306"/>
      <c r="D429" s="2307"/>
      <c r="E429" s="1081"/>
      <c r="F429" s="1081"/>
      <c r="G429" s="1081"/>
      <c r="H429" s="1082"/>
    </row>
    <row r="430" spans="1:8" ht="16.5" customHeight="1">
      <c r="A430" s="1057"/>
      <c r="B430" s="1069"/>
      <c r="C430" s="2213" t="s">
        <v>605</v>
      </c>
      <c r="D430" s="2304"/>
      <c r="E430" s="1185">
        <f>E431</f>
        <v>0</v>
      </c>
      <c r="F430" s="1185">
        <f t="shared" ref="F430:G431" si="102">F431</f>
        <v>20000</v>
      </c>
      <c r="G430" s="1185">
        <f t="shared" si="102"/>
        <v>20000</v>
      </c>
      <c r="H430" s="1186">
        <f t="shared" si="99"/>
        <v>1</v>
      </c>
    </row>
    <row r="431" spans="1:8">
      <c r="A431" s="1057"/>
      <c r="B431" s="1069"/>
      <c r="C431" s="2171" t="s">
        <v>710</v>
      </c>
      <c r="D431" s="2171"/>
      <c r="E431" s="1079">
        <f>E432</f>
        <v>0</v>
      </c>
      <c r="F431" s="1079">
        <f t="shared" si="102"/>
        <v>20000</v>
      </c>
      <c r="G431" s="1079">
        <f t="shared" si="102"/>
        <v>20000</v>
      </c>
      <c r="H431" s="1080">
        <f t="shared" si="99"/>
        <v>1</v>
      </c>
    </row>
    <row r="432" spans="1:8" ht="39" thickBot="1">
      <c r="A432" s="1057"/>
      <c r="B432" s="1069"/>
      <c r="C432" s="1166" t="s">
        <v>22</v>
      </c>
      <c r="D432" s="1167" t="s">
        <v>711</v>
      </c>
      <c r="E432" s="1089">
        <v>0</v>
      </c>
      <c r="F432" s="1089">
        <v>20000</v>
      </c>
      <c r="G432" s="1089">
        <v>20000</v>
      </c>
      <c r="H432" s="1090">
        <f t="shared" si="99"/>
        <v>1</v>
      </c>
    </row>
    <row r="433" spans="1:8" ht="17.100000000000001" customHeight="1" thickBot="1">
      <c r="A433" s="1057"/>
      <c r="B433" s="1144" t="s">
        <v>76</v>
      </c>
      <c r="C433" s="1145"/>
      <c r="D433" s="1146" t="s">
        <v>11</v>
      </c>
      <c r="E433" s="1147">
        <f>SUM(E434+E453)</f>
        <v>321569</v>
      </c>
      <c r="F433" s="1147">
        <f>SUM(F434+F453)</f>
        <v>599787</v>
      </c>
      <c r="G433" s="1147">
        <f>SUM(G434+G453)</f>
        <v>548781</v>
      </c>
      <c r="H433" s="1148">
        <f t="shared" si="99"/>
        <v>0.91495981073281019</v>
      </c>
    </row>
    <row r="434" spans="1:8" ht="17.100000000000001" customHeight="1">
      <c r="A434" s="1057"/>
      <c r="B434" s="2308"/>
      <c r="C434" s="2210" t="s">
        <v>560</v>
      </c>
      <c r="D434" s="2172"/>
      <c r="E434" s="1253">
        <f>E435+E450</f>
        <v>321569</v>
      </c>
      <c r="F434" s="1253">
        <f>F435+F450</f>
        <v>439787</v>
      </c>
      <c r="G434" s="1253">
        <f>G435+G450</f>
        <v>394618</v>
      </c>
      <c r="H434" s="1254">
        <f t="shared" si="99"/>
        <v>0.89729346251708209</v>
      </c>
    </row>
    <row r="435" spans="1:8" ht="16.5" customHeight="1">
      <c r="A435" s="1057"/>
      <c r="B435" s="2309"/>
      <c r="C435" s="2310" t="s">
        <v>561</v>
      </c>
      <c r="D435" s="2311"/>
      <c r="E435" s="1239">
        <f>E436+E443</f>
        <v>321569</v>
      </c>
      <c r="F435" s="1239">
        <f>F436+F443</f>
        <v>419787</v>
      </c>
      <c r="G435" s="1239">
        <f>G436+G443</f>
        <v>374618</v>
      </c>
      <c r="H435" s="1240">
        <f t="shared" si="99"/>
        <v>0.89240019343143073</v>
      </c>
    </row>
    <row r="436" spans="1:8" ht="16.5" customHeight="1">
      <c r="A436" s="1057"/>
      <c r="B436" s="2309"/>
      <c r="C436" s="2277" t="s">
        <v>562</v>
      </c>
      <c r="D436" s="2277"/>
      <c r="E436" s="1115">
        <f>SUM(E437:E441)</f>
        <v>276203</v>
      </c>
      <c r="F436" s="1115">
        <f>SUM(F437:F441)</f>
        <v>285061</v>
      </c>
      <c r="G436" s="1115">
        <f>SUM(G437:G441)</f>
        <v>260431</v>
      </c>
      <c r="H436" s="1116">
        <f t="shared" si="99"/>
        <v>0.91359744054781256</v>
      </c>
    </row>
    <row r="437" spans="1:8" ht="16.5" customHeight="1">
      <c r="A437" s="1057"/>
      <c r="B437" s="2309"/>
      <c r="C437" s="1096" t="s">
        <v>145</v>
      </c>
      <c r="D437" s="1097" t="s">
        <v>563</v>
      </c>
      <c r="E437" s="1079">
        <v>215199</v>
      </c>
      <c r="F437" s="1079">
        <v>218499</v>
      </c>
      <c r="G437" s="1079">
        <v>199466</v>
      </c>
      <c r="H437" s="1080">
        <f t="shared" si="99"/>
        <v>0.91289204984919836</v>
      </c>
    </row>
    <row r="438" spans="1:8" ht="16.5" customHeight="1">
      <c r="A438" s="1057"/>
      <c r="B438" s="2309"/>
      <c r="C438" s="1096" t="s">
        <v>564</v>
      </c>
      <c r="D438" s="1097" t="s">
        <v>565</v>
      </c>
      <c r="E438" s="1079">
        <v>15298</v>
      </c>
      <c r="F438" s="1079">
        <v>16798</v>
      </c>
      <c r="G438" s="1079">
        <v>16630</v>
      </c>
      <c r="H438" s="1080">
        <f t="shared" si="99"/>
        <v>0.9899988093820693</v>
      </c>
    </row>
    <row r="439" spans="1:8" ht="16.5" customHeight="1">
      <c r="A439" s="1057"/>
      <c r="B439" s="2309"/>
      <c r="C439" s="1096" t="s">
        <v>146</v>
      </c>
      <c r="D439" s="1097" t="s">
        <v>566</v>
      </c>
      <c r="E439" s="1079">
        <v>45706</v>
      </c>
      <c r="F439" s="1079">
        <v>37056</v>
      </c>
      <c r="G439" s="1079">
        <v>34043</v>
      </c>
      <c r="H439" s="1080">
        <f t="shared" si="99"/>
        <v>0.91869063039723664</v>
      </c>
    </row>
    <row r="440" spans="1:8" ht="16.5" customHeight="1">
      <c r="A440" s="1057"/>
      <c r="B440" s="2309"/>
      <c r="C440" s="1255" t="s">
        <v>147</v>
      </c>
      <c r="D440" s="1162" t="s">
        <v>567</v>
      </c>
      <c r="E440" s="1079">
        <v>0</v>
      </c>
      <c r="F440" s="1079">
        <v>5200</v>
      </c>
      <c r="G440" s="1079">
        <v>2784</v>
      </c>
      <c r="H440" s="1080">
        <f t="shared" si="99"/>
        <v>0.53538461538461535</v>
      </c>
    </row>
    <row r="441" spans="1:8" ht="16.5" customHeight="1">
      <c r="A441" s="1057"/>
      <c r="B441" s="2309"/>
      <c r="C441" s="1255" t="s">
        <v>568</v>
      </c>
      <c r="D441" s="1162" t="s">
        <v>569</v>
      </c>
      <c r="E441" s="1079">
        <v>0</v>
      </c>
      <c r="F441" s="1079">
        <v>7508</v>
      </c>
      <c r="G441" s="1079">
        <v>7508</v>
      </c>
      <c r="H441" s="1080">
        <f t="shared" si="99"/>
        <v>1</v>
      </c>
    </row>
    <row r="442" spans="1:8" ht="16.5" customHeight="1">
      <c r="A442" s="1057"/>
      <c r="B442" s="2309"/>
      <c r="C442" s="2312"/>
      <c r="D442" s="2313"/>
      <c r="E442" s="1239"/>
      <c r="F442" s="1239"/>
      <c r="G442" s="1239"/>
      <c r="H442" s="1240"/>
    </row>
    <row r="443" spans="1:8" ht="16.5" customHeight="1">
      <c r="A443" s="1057"/>
      <c r="B443" s="2309"/>
      <c r="C443" s="2305" t="s">
        <v>570</v>
      </c>
      <c r="D443" s="2291"/>
      <c r="E443" s="1239">
        <f>SUM(E444:E448)</f>
        <v>45366</v>
      </c>
      <c r="F443" s="1239">
        <f t="shared" ref="F443:G443" si="103">SUM(F444:F448)</f>
        <v>134726</v>
      </c>
      <c r="G443" s="1239">
        <f t="shared" si="103"/>
        <v>114187</v>
      </c>
      <c r="H443" s="1240">
        <f t="shared" si="99"/>
        <v>0.84754984190134053</v>
      </c>
    </row>
    <row r="444" spans="1:8" ht="16.5" customHeight="1">
      <c r="A444" s="1057"/>
      <c r="B444" s="2309"/>
      <c r="C444" s="1256" t="s">
        <v>571</v>
      </c>
      <c r="D444" s="1247" t="s">
        <v>572</v>
      </c>
      <c r="E444" s="1257">
        <v>5366</v>
      </c>
      <c r="F444" s="1257">
        <v>5366</v>
      </c>
      <c r="G444" s="1257">
        <v>4829</v>
      </c>
      <c r="H444" s="1258">
        <f t="shared" si="99"/>
        <v>0.89992545657845691</v>
      </c>
    </row>
    <row r="445" spans="1:8" ht="14.25" customHeight="1">
      <c r="A445" s="1057"/>
      <c r="B445" s="2309"/>
      <c r="C445" s="1259" t="s">
        <v>25</v>
      </c>
      <c r="D445" s="1260" t="s">
        <v>581</v>
      </c>
      <c r="E445" s="1257">
        <v>40000</v>
      </c>
      <c r="F445" s="1257">
        <v>20000</v>
      </c>
      <c r="G445" s="1257">
        <v>0</v>
      </c>
      <c r="H445" s="1258">
        <f t="shared" si="99"/>
        <v>0</v>
      </c>
    </row>
    <row r="446" spans="1:8" ht="17.25" customHeight="1">
      <c r="A446" s="1057"/>
      <c r="B446" s="1261"/>
      <c r="C446" s="1262" t="s">
        <v>703</v>
      </c>
      <c r="D446" s="1162" t="s">
        <v>301</v>
      </c>
      <c r="E446" s="1257">
        <v>0</v>
      </c>
      <c r="F446" s="1257">
        <v>13465</v>
      </c>
      <c r="G446" s="1257">
        <v>13464</v>
      </c>
      <c r="H446" s="1258">
        <f t="shared" si="99"/>
        <v>0.99992573338284441</v>
      </c>
    </row>
    <row r="447" spans="1:8" ht="28.5" customHeight="1">
      <c r="A447" s="1057"/>
      <c r="B447" s="1261"/>
      <c r="C447" s="1263" t="s">
        <v>704</v>
      </c>
      <c r="D447" s="1162" t="s">
        <v>705</v>
      </c>
      <c r="E447" s="1257">
        <v>0</v>
      </c>
      <c r="F447" s="1257">
        <v>89588</v>
      </c>
      <c r="G447" s="1257">
        <v>89588</v>
      </c>
      <c r="H447" s="1258">
        <f t="shared" si="99"/>
        <v>1</v>
      </c>
    </row>
    <row r="448" spans="1:8" ht="21" customHeight="1">
      <c r="A448" s="1057"/>
      <c r="B448" s="1261"/>
      <c r="C448" s="1263" t="s">
        <v>608</v>
      </c>
      <c r="D448" s="1162" t="s">
        <v>609</v>
      </c>
      <c r="E448" s="1257">
        <v>0</v>
      </c>
      <c r="F448" s="1257">
        <v>6307</v>
      </c>
      <c r="G448" s="1257">
        <v>6306</v>
      </c>
      <c r="H448" s="1258">
        <f t="shared" si="99"/>
        <v>0.99984144601236724</v>
      </c>
    </row>
    <row r="449" spans="1:8" ht="14.25" customHeight="1">
      <c r="A449" s="1057"/>
      <c r="B449" s="1261"/>
      <c r="C449" s="1264"/>
      <c r="D449" s="1265"/>
      <c r="E449" s="1257"/>
      <c r="F449" s="1257"/>
      <c r="G449" s="1257"/>
      <c r="H449" s="1258"/>
    </row>
    <row r="450" spans="1:8" ht="16.5" customHeight="1">
      <c r="A450" s="1057"/>
      <c r="B450" s="1261"/>
      <c r="C450" s="2272" t="s">
        <v>647</v>
      </c>
      <c r="D450" s="2272"/>
      <c r="E450" s="1239">
        <f>E451</f>
        <v>0</v>
      </c>
      <c r="F450" s="1239">
        <f t="shared" ref="F450:G450" si="104">F451</f>
        <v>20000</v>
      </c>
      <c r="G450" s="1239">
        <f t="shared" si="104"/>
        <v>20000</v>
      </c>
      <c r="H450" s="1240">
        <f t="shared" si="99"/>
        <v>1</v>
      </c>
    </row>
    <row r="451" spans="1:8" ht="39.75" customHeight="1">
      <c r="A451" s="1057"/>
      <c r="B451" s="1261"/>
      <c r="C451" s="1096" t="s">
        <v>77</v>
      </c>
      <c r="D451" s="1097" t="s">
        <v>717</v>
      </c>
      <c r="E451" s="1257">
        <v>0</v>
      </c>
      <c r="F451" s="1257">
        <v>20000</v>
      </c>
      <c r="G451" s="1257">
        <v>20000</v>
      </c>
      <c r="H451" s="1258">
        <f t="shared" si="99"/>
        <v>1</v>
      </c>
    </row>
    <row r="452" spans="1:8" ht="16.5" customHeight="1">
      <c r="A452" s="1057"/>
      <c r="B452" s="1261"/>
      <c r="C452" s="1266"/>
      <c r="D452" s="1267"/>
      <c r="E452" s="1257"/>
      <c r="F452" s="1257"/>
      <c r="G452" s="1257"/>
      <c r="H452" s="1258"/>
    </row>
    <row r="453" spans="1:8" ht="16.5" customHeight="1">
      <c r="A453" s="1057"/>
      <c r="B453" s="1261"/>
      <c r="C453" s="2213" t="s">
        <v>605</v>
      </c>
      <c r="D453" s="2304"/>
      <c r="E453" s="1268">
        <f>E454</f>
        <v>0</v>
      </c>
      <c r="F453" s="1268">
        <f t="shared" ref="F453:G454" si="105">F454</f>
        <v>160000</v>
      </c>
      <c r="G453" s="1268">
        <f t="shared" si="105"/>
        <v>154163</v>
      </c>
      <c r="H453" s="1269">
        <f t="shared" si="99"/>
        <v>0.96351874999999998</v>
      </c>
    </row>
    <row r="454" spans="1:8" ht="16.5" customHeight="1">
      <c r="A454" s="1057"/>
      <c r="B454" s="1261"/>
      <c r="C454" s="2171" t="s">
        <v>710</v>
      </c>
      <c r="D454" s="2147"/>
      <c r="E454" s="1257">
        <f>E455</f>
        <v>0</v>
      </c>
      <c r="F454" s="1257">
        <f t="shared" si="105"/>
        <v>160000</v>
      </c>
      <c r="G454" s="1257">
        <f t="shared" si="105"/>
        <v>154163</v>
      </c>
      <c r="H454" s="1258">
        <f t="shared" si="99"/>
        <v>0.96351874999999998</v>
      </c>
    </row>
    <row r="455" spans="1:8" ht="39.75" customHeight="1" thickBot="1">
      <c r="A455" s="1057"/>
      <c r="B455" s="1261"/>
      <c r="C455" s="1087" t="s">
        <v>22</v>
      </c>
      <c r="D455" s="1252" t="s">
        <v>711</v>
      </c>
      <c r="E455" s="1270">
        <v>0</v>
      </c>
      <c r="F455" s="1270">
        <v>160000</v>
      </c>
      <c r="G455" s="1270">
        <v>154163</v>
      </c>
      <c r="H455" s="1271">
        <f t="shared" si="99"/>
        <v>0.96351874999999998</v>
      </c>
    </row>
    <row r="456" spans="1:8" ht="17.100000000000001" customHeight="1" thickBot="1">
      <c r="A456" s="1051" t="s">
        <v>78</v>
      </c>
      <c r="B456" s="1052"/>
      <c r="C456" s="1053"/>
      <c r="D456" s="1054" t="s">
        <v>718</v>
      </c>
      <c r="E456" s="1055">
        <f>E457+E477</f>
        <v>790000</v>
      </c>
      <c r="F456" s="1055">
        <f>F457+F477</f>
        <v>1256665</v>
      </c>
      <c r="G456" s="1055">
        <f>G457+G477</f>
        <v>639896</v>
      </c>
      <c r="H456" s="1056">
        <f t="shared" si="99"/>
        <v>0.50920173634182542</v>
      </c>
    </row>
    <row r="457" spans="1:8" ht="17.100000000000001" customHeight="1" thickBot="1">
      <c r="A457" s="1057"/>
      <c r="B457" s="1144" t="s">
        <v>80</v>
      </c>
      <c r="C457" s="1145"/>
      <c r="D457" s="1146" t="s">
        <v>81</v>
      </c>
      <c r="E457" s="1147">
        <f>E458+E473</f>
        <v>790000</v>
      </c>
      <c r="F457" s="1147">
        <f>F458+F473</f>
        <v>1237625</v>
      </c>
      <c r="G457" s="1147">
        <f>G458+G473</f>
        <v>620856</v>
      </c>
      <c r="H457" s="1148">
        <f t="shared" si="99"/>
        <v>0.50165114634885366</v>
      </c>
    </row>
    <row r="458" spans="1:8" ht="17.100000000000001" customHeight="1">
      <c r="A458" s="1057"/>
      <c r="B458" s="1093"/>
      <c r="C458" s="2112" t="s">
        <v>560</v>
      </c>
      <c r="D458" s="2112"/>
      <c r="E458" s="1063">
        <f>E459+E470</f>
        <v>790000</v>
      </c>
      <c r="F458" s="1063">
        <f>F459+F470</f>
        <v>800991</v>
      </c>
      <c r="G458" s="1063">
        <f>G459+G470</f>
        <v>239737</v>
      </c>
      <c r="H458" s="1064">
        <f t="shared" si="99"/>
        <v>0.29930049151613441</v>
      </c>
    </row>
    <row r="459" spans="1:8" ht="17.100000000000001" customHeight="1">
      <c r="A459" s="1057"/>
      <c r="B459" s="1093"/>
      <c r="C459" s="2276" t="s">
        <v>561</v>
      </c>
      <c r="D459" s="2276"/>
      <c r="E459" s="1079">
        <f>E461</f>
        <v>790000</v>
      </c>
      <c r="F459" s="1079">
        <f t="shared" ref="F459:G459" si="106">F461</f>
        <v>741423</v>
      </c>
      <c r="G459" s="1079">
        <f t="shared" si="106"/>
        <v>180171</v>
      </c>
      <c r="H459" s="1080">
        <f t="shared" si="99"/>
        <v>0.24300702837651381</v>
      </c>
    </row>
    <row r="460" spans="1:8" ht="14.25" customHeight="1">
      <c r="A460" s="1057"/>
      <c r="B460" s="1093"/>
      <c r="C460" s="1178"/>
      <c r="D460" s="1178"/>
      <c r="E460" s="1079"/>
      <c r="F460" s="1079"/>
      <c r="G460" s="1079"/>
      <c r="H460" s="1080"/>
    </row>
    <row r="461" spans="1:8" ht="17.100000000000001" customHeight="1">
      <c r="A461" s="1057"/>
      <c r="B461" s="1093"/>
      <c r="C461" s="2278" t="s">
        <v>570</v>
      </c>
      <c r="D461" s="2278"/>
      <c r="E461" s="1115">
        <f>SUM(E462:E468)</f>
        <v>790000</v>
      </c>
      <c r="F461" s="1115">
        <f>SUM(F462:F468)</f>
        <v>741423</v>
      </c>
      <c r="G461" s="1115">
        <f>SUM(G462:G468)</f>
        <v>180171</v>
      </c>
      <c r="H461" s="1116">
        <f t="shared" si="99"/>
        <v>0.24300702837651381</v>
      </c>
    </row>
    <row r="462" spans="1:8" ht="17.100000000000001" customHeight="1">
      <c r="A462" s="1057"/>
      <c r="B462" s="1069"/>
      <c r="C462" s="1096" t="s">
        <v>143</v>
      </c>
      <c r="D462" s="1097" t="s">
        <v>573</v>
      </c>
      <c r="E462" s="1079">
        <v>10000</v>
      </c>
      <c r="F462" s="1079">
        <v>10000</v>
      </c>
      <c r="G462" s="1079">
        <v>0</v>
      </c>
      <c r="H462" s="1080">
        <f t="shared" si="99"/>
        <v>0</v>
      </c>
    </row>
    <row r="463" spans="1:8" ht="17.100000000000001" customHeight="1">
      <c r="A463" s="1057"/>
      <c r="B463" s="1069"/>
      <c r="C463" s="1096" t="s">
        <v>24</v>
      </c>
      <c r="D463" s="1097" t="s">
        <v>578</v>
      </c>
      <c r="E463" s="1079">
        <v>10000</v>
      </c>
      <c r="F463" s="1079">
        <v>10000</v>
      </c>
      <c r="G463" s="1079">
        <v>0</v>
      </c>
      <c r="H463" s="1080">
        <f t="shared" si="99"/>
        <v>0</v>
      </c>
    </row>
    <row r="464" spans="1:8" ht="17.100000000000001" customHeight="1">
      <c r="A464" s="1057"/>
      <c r="B464" s="1069"/>
      <c r="C464" s="1096" t="s">
        <v>25</v>
      </c>
      <c r="D464" s="1097" t="s">
        <v>581</v>
      </c>
      <c r="E464" s="1079">
        <v>370000</v>
      </c>
      <c r="F464" s="1079">
        <v>269673</v>
      </c>
      <c r="G464" s="1079">
        <v>124423</v>
      </c>
      <c r="H464" s="1080">
        <f t="shared" si="99"/>
        <v>0.4613847140796446</v>
      </c>
    </row>
    <row r="465" spans="1:8" ht="17.100000000000001" customHeight="1">
      <c r="A465" s="1057"/>
      <c r="B465" s="1069"/>
      <c r="C465" s="1096" t="s">
        <v>593</v>
      </c>
      <c r="D465" s="1097" t="s">
        <v>594</v>
      </c>
      <c r="E465" s="1079">
        <v>100000</v>
      </c>
      <c r="F465" s="1079">
        <v>100000</v>
      </c>
      <c r="G465" s="1079">
        <v>52709</v>
      </c>
      <c r="H465" s="1080">
        <f t="shared" si="99"/>
        <v>0.52708999999999995</v>
      </c>
    </row>
    <row r="466" spans="1:8" ht="17.100000000000001" customHeight="1">
      <c r="A466" s="1057"/>
      <c r="B466" s="1069"/>
      <c r="C466" s="1096" t="s">
        <v>597</v>
      </c>
      <c r="D466" s="1097" t="s">
        <v>598</v>
      </c>
      <c r="E466" s="1079">
        <v>270000</v>
      </c>
      <c r="F466" s="1079">
        <v>270000</v>
      </c>
      <c r="G466" s="1079">
        <v>1039</v>
      </c>
      <c r="H466" s="1080">
        <f t="shared" si="99"/>
        <v>3.8481481481481483E-3</v>
      </c>
    </row>
    <row r="467" spans="1:8" ht="17.100000000000001" customHeight="1">
      <c r="A467" s="1057"/>
      <c r="B467" s="1069"/>
      <c r="C467" s="1096" t="s">
        <v>599</v>
      </c>
      <c r="D467" s="1097" t="s">
        <v>600</v>
      </c>
      <c r="E467" s="1079">
        <v>0</v>
      </c>
      <c r="F467" s="1079">
        <v>51750</v>
      </c>
      <c r="G467" s="1079">
        <v>0</v>
      </c>
      <c r="H467" s="1080">
        <f t="shared" si="99"/>
        <v>0</v>
      </c>
    </row>
    <row r="468" spans="1:8" ht="17.100000000000001" customHeight="1">
      <c r="A468" s="1057"/>
      <c r="B468" s="1069"/>
      <c r="C468" s="1096" t="s">
        <v>608</v>
      </c>
      <c r="D468" s="1097" t="s">
        <v>609</v>
      </c>
      <c r="E468" s="1079">
        <v>30000</v>
      </c>
      <c r="F468" s="1079">
        <v>30000</v>
      </c>
      <c r="G468" s="1079">
        <v>2000</v>
      </c>
      <c r="H468" s="1080">
        <f t="shared" si="99"/>
        <v>6.6666666666666666E-2</v>
      </c>
    </row>
    <row r="469" spans="1:8" ht="17.100000000000001" customHeight="1">
      <c r="A469" s="1057"/>
      <c r="B469" s="1069"/>
      <c r="C469" s="1266"/>
      <c r="D469" s="1272"/>
      <c r="E469" s="1081"/>
      <c r="F469" s="1081"/>
      <c r="G469" s="1081"/>
      <c r="H469" s="1082"/>
    </row>
    <row r="470" spans="1:8" ht="17.100000000000001" customHeight="1">
      <c r="A470" s="1057"/>
      <c r="B470" s="1069"/>
      <c r="C470" s="2272" t="s">
        <v>647</v>
      </c>
      <c r="D470" s="2272"/>
      <c r="E470" s="1185">
        <f>E471</f>
        <v>0</v>
      </c>
      <c r="F470" s="1185">
        <f t="shared" ref="F470:G470" si="107">F471</f>
        <v>59568</v>
      </c>
      <c r="G470" s="1185">
        <f t="shared" si="107"/>
        <v>59566</v>
      </c>
      <c r="H470" s="1186">
        <f t="shared" si="99"/>
        <v>0.99996642492613486</v>
      </c>
    </row>
    <row r="471" spans="1:8" ht="26.25" customHeight="1">
      <c r="A471" s="1057"/>
      <c r="B471" s="1069"/>
      <c r="C471" s="1096" t="s">
        <v>19</v>
      </c>
      <c r="D471" s="1097" t="s">
        <v>719</v>
      </c>
      <c r="E471" s="1079">
        <v>0</v>
      </c>
      <c r="F471" s="1079">
        <v>59568</v>
      </c>
      <c r="G471" s="1079">
        <v>59566</v>
      </c>
      <c r="H471" s="1080">
        <f t="shared" si="99"/>
        <v>0.99996642492613486</v>
      </c>
    </row>
    <row r="472" spans="1:8" ht="17.100000000000001" customHeight="1">
      <c r="A472" s="1057"/>
      <c r="B472" s="1069"/>
      <c r="C472" s="1273"/>
      <c r="D472" s="1234"/>
      <c r="E472" s="1079"/>
      <c r="F472" s="1079"/>
      <c r="G472" s="1079"/>
      <c r="H472" s="1080"/>
    </row>
    <row r="473" spans="1:8" ht="17.100000000000001" customHeight="1">
      <c r="A473" s="1057"/>
      <c r="B473" s="1069"/>
      <c r="C473" s="2213" t="s">
        <v>605</v>
      </c>
      <c r="D473" s="2304"/>
      <c r="E473" s="1274">
        <f>E474</f>
        <v>0</v>
      </c>
      <c r="F473" s="1274">
        <f t="shared" ref="F473:G473" si="108">F474</f>
        <v>436634</v>
      </c>
      <c r="G473" s="1274">
        <f t="shared" si="108"/>
        <v>381119</v>
      </c>
      <c r="H473" s="1275">
        <f t="shared" si="99"/>
        <v>0.87285690074524658</v>
      </c>
    </row>
    <row r="474" spans="1:8" ht="17.100000000000001" customHeight="1">
      <c r="A474" s="1057"/>
      <c r="B474" s="1069"/>
      <c r="C474" s="2171" t="s">
        <v>710</v>
      </c>
      <c r="D474" s="2171"/>
      <c r="E474" s="1185">
        <f>E475+E476</f>
        <v>0</v>
      </c>
      <c r="F474" s="1185">
        <f t="shared" ref="F474:G474" si="109">F475+F476</f>
        <v>436634</v>
      </c>
      <c r="G474" s="1185">
        <f t="shared" si="109"/>
        <v>381119</v>
      </c>
      <c r="H474" s="1186">
        <f t="shared" si="99"/>
        <v>0.87285690074524658</v>
      </c>
    </row>
    <row r="475" spans="1:8" ht="17.100000000000001" customHeight="1">
      <c r="A475" s="1057"/>
      <c r="B475" s="1069"/>
      <c r="C475" s="1096" t="s">
        <v>144</v>
      </c>
      <c r="D475" s="1097" t="s">
        <v>650</v>
      </c>
      <c r="E475" s="1079">
        <v>0</v>
      </c>
      <c r="F475" s="1079">
        <v>257168</v>
      </c>
      <c r="G475" s="1079">
        <v>225168</v>
      </c>
      <c r="H475" s="1080">
        <f t="shared" si="99"/>
        <v>0.87556772226715607</v>
      </c>
    </row>
    <row r="476" spans="1:8" ht="40.5" customHeight="1" thickBot="1">
      <c r="A476" s="1057"/>
      <c r="B476" s="1069"/>
      <c r="C476" s="1087" t="s">
        <v>22</v>
      </c>
      <c r="D476" s="1088" t="s">
        <v>711</v>
      </c>
      <c r="E476" s="1185">
        <v>0</v>
      </c>
      <c r="F476" s="1185">
        <v>179466</v>
      </c>
      <c r="G476" s="1185">
        <v>155951</v>
      </c>
      <c r="H476" s="1186">
        <f t="shared" si="99"/>
        <v>0.86897239588557162</v>
      </c>
    </row>
    <row r="477" spans="1:8" ht="17.25" customHeight="1" thickBot="1">
      <c r="A477" s="1057"/>
      <c r="B477" s="1144" t="s">
        <v>82</v>
      </c>
      <c r="C477" s="1145"/>
      <c r="D477" s="1146" t="s">
        <v>11</v>
      </c>
      <c r="E477" s="1147">
        <f>E478</f>
        <v>0</v>
      </c>
      <c r="F477" s="1147">
        <f t="shared" ref="F477:G479" si="110">F478</f>
        <v>19040</v>
      </c>
      <c r="G477" s="1147">
        <f t="shared" si="110"/>
        <v>19040</v>
      </c>
      <c r="H477" s="1148">
        <f t="shared" si="99"/>
        <v>1</v>
      </c>
    </row>
    <row r="478" spans="1:8" ht="13.5" customHeight="1">
      <c r="A478" s="1057"/>
      <c r="B478" s="1069"/>
      <c r="C478" s="2213" t="s">
        <v>605</v>
      </c>
      <c r="D478" s="2304"/>
      <c r="E478" s="1081">
        <f>E479</f>
        <v>0</v>
      </c>
      <c r="F478" s="1081">
        <f t="shared" si="110"/>
        <v>19040</v>
      </c>
      <c r="G478" s="1081">
        <f t="shared" si="110"/>
        <v>19040</v>
      </c>
      <c r="H478" s="1082">
        <f t="shared" si="99"/>
        <v>1</v>
      </c>
    </row>
    <row r="479" spans="1:8" ht="16.5" customHeight="1">
      <c r="A479" s="1057"/>
      <c r="B479" s="1069"/>
      <c r="C479" s="2171" t="s">
        <v>710</v>
      </c>
      <c r="D479" s="2171"/>
      <c r="E479" s="1185">
        <f>E480</f>
        <v>0</v>
      </c>
      <c r="F479" s="1185">
        <f t="shared" si="110"/>
        <v>19040</v>
      </c>
      <c r="G479" s="1185">
        <f t="shared" si="110"/>
        <v>19040</v>
      </c>
      <c r="H479" s="1186">
        <f t="shared" si="99"/>
        <v>1</v>
      </c>
    </row>
    <row r="480" spans="1:8" ht="42" customHeight="1" thickBot="1">
      <c r="A480" s="1057"/>
      <c r="B480" s="1209"/>
      <c r="C480" s="1087" t="s">
        <v>22</v>
      </c>
      <c r="D480" s="1088" t="s">
        <v>711</v>
      </c>
      <c r="E480" s="1089">
        <v>0</v>
      </c>
      <c r="F480" s="1089">
        <v>19040</v>
      </c>
      <c r="G480" s="1089">
        <v>19040</v>
      </c>
      <c r="H480" s="1090">
        <f t="shared" si="99"/>
        <v>1</v>
      </c>
    </row>
    <row r="481" spans="1:10" ht="17.100000000000001" customHeight="1" thickBot="1">
      <c r="A481" s="1051" t="s">
        <v>720</v>
      </c>
      <c r="B481" s="1168"/>
      <c r="C481" s="1169"/>
      <c r="D481" s="1170" t="s">
        <v>721</v>
      </c>
      <c r="E481" s="1171">
        <f>SUM(E482,E517,E550)</f>
        <v>56697770</v>
      </c>
      <c r="F481" s="1171">
        <f t="shared" ref="F481:G481" si="111">SUM(F482,F517,F550)</f>
        <v>42821657</v>
      </c>
      <c r="G481" s="1171">
        <f t="shared" si="111"/>
        <v>30006128</v>
      </c>
      <c r="H481" s="1172">
        <f t="shared" si="99"/>
        <v>0.70072318780191056</v>
      </c>
      <c r="J481" s="1276"/>
    </row>
    <row r="482" spans="1:10" ht="17.100000000000001" customHeight="1" thickBot="1">
      <c r="A482" s="1057"/>
      <c r="B482" s="1144" t="s">
        <v>722</v>
      </c>
      <c r="C482" s="1145"/>
      <c r="D482" s="1146" t="s">
        <v>351</v>
      </c>
      <c r="E482" s="1147">
        <f>E483+E514</f>
        <v>4137168</v>
      </c>
      <c r="F482" s="1147">
        <f t="shared" ref="F482:G482" si="112">F483+F514</f>
        <v>4137168</v>
      </c>
      <c r="G482" s="1147">
        <f t="shared" si="112"/>
        <v>3774844</v>
      </c>
      <c r="H482" s="1148">
        <f t="shared" si="99"/>
        <v>0.91242221732354112</v>
      </c>
    </row>
    <row r="483" spans="1:10" ht="17.100000000000001" customHeight="1">
      <c r="A483" s="1057"/>
      <c r="B483" s="1069"/>
      <c r="C483" s="2112" t="s">
        <v>560</v>
      </c>
      <c r="D483" s="2112"/>
      <c r="E483" s="1063">
        <f>E484+E511</f>
        <v>4127168</v>
      </c>
      <c r="F483" s="1063">
        <f t="shared" ref="F483:G483" si="113">F484+F511</f>
        <v>4137168</v>
      </c>
      <c r="G483" s="1063">
        <f t="shared" si="113"/>
        <v>3774844</v>
      </c>
      <c r="H483" s="1064">
        <f t="shared" si="99"/>
        <v>0.91242221732354112</v>
      </c>
    </row>
    <row r="484" spans="1:10" ht="17.100000000000001" customHeight="1">
      <c r="A484" s="1057"/>
      <c r="B484" s="1069"/>
      <c r="C484" s="2276" t="s">
        <v>561</v>
      </c>
      <c r="D484" s="2276"/>
      <c r="E484" s="1079">
        <f t="shared" ref="E484:G484" si="114">E485+E492</f>
        <v>4119168</v>
      </c>
      <c r="F484" s="1079">
        <f t="shared" si="114"/>
        <v>4129168</v>
      </c>
      <c r="G484" s="1079">
        <f t="shared" si="114"/>
        <v>3770206</v>
      </c>
      <c r="H484" s="1080">
        <f t="shared" si="99"/>
        <v>0.91306674855564118</v>
      </c>
    </row>
    <row r="485" spans="1:10" ht="17.100000000000001" customHeight="1">
      <c r="A485" s="1057"/>
      <c r="B485" s="1069"/>
      <c r="C485" s="2277" t="s">
        <v>562</v>
      </c>
      <c r="D485" s="2277"/>
      <c r="E485" s="1115">
        <f t="shared" ref="E485:G485" si="115">SUM(E486:E490)</f>
        <v>3585655</v>
      </c>
      <c r="F485" s="1115">
        <f t="shared" si="115"/>
        <v>3585655</v>
      </c>
      <c r="G485" s="1115">
        <f t="shared" si="115"/>
        <v>3291683</v>
      </c>
      <c r="H485" s="1116">
        <f t="shared" si="99"/>
        <v>0.91801442135397859</v>
      </c>
    </row>
    <row r="486" spans="1:10" ht="17.100000000000001" customHeight="1">
      <c r="A486" s="1057"/>
      <c r="B486" s="1069"/>
      <c r="C486" s="1096" t="s">
        <v>145</v>
      </c>
      <c r="D486" s="1097" t="s">
        <v>563</v>
      </c>
      <c r="E486" s="1079">
        <v>2787430</v>
      </c>
      <c r="F486" s="1079">
        <v>2787430</v>
      </c>
      <c r="G486" s="1079">
        <v>2589822</v>
      </c>
      <c r="H486" s="1080">
        <f t="shared" si="99"/>
        <v>0.92910745740700218</v>
      </c>
    </row>
    <row r="487" spans="1:10" ht="17.100000000000001" customHeight="1">
      <c r="A487" s="1057"/>
      <c r="B487" s="1069"/>
      <c r="C487" s="1096" t="s">
        <v>564</v>
      </c>
      <c r="D487" s="1097" t="s">
        <v>565</v>
      </c>
      <c r="E487" s="1079">
        <v>220400</v>
      </c>
      <c r="F487" s="1079">
        <v>220400</v>
      </c>
      <c r="G487" s="1079">
        <v>204643</v>
      </c>
      <c r="H487" s="1080">
        <f t="shared" si="99"/>
        <v>0.92850725952813062</v>
      </c>
    </row>
    <row r="488" spans="1:10" ht="17.100000000000001" customHeight="1">
      <c r="A488" s="1057"/>
      <c r="B488" s="1069"/>
      <c r="C488" s="1096" t="s">
        <v>146</v>
      </c>
      <c r="D488" s="1097" t="s">
        <v>566</v>
      </c>
      <c r="E488" s="1079">
        <v>490015</v>
      </c>
      <c r="F488" s="1079">
        <v>490015</v>
      </c>
      <c r="G488" s="1079">
        <v>445917</v>
      </c>
      <c r="H488" s="1080">
        <f t="shared" si="99"/>
        <v>0.91000683652541248</v>
      </c>
    </row>
    <row r="489" spans="1:10" ht="17.100000000000001" customHeight="1">
      <c r="A489" s="1057"/>
      <c r="B489" s="1069"/>
      <c r="C489" s="1096" t="s">
        <v>147</v>
      </c>
      <c r="D489" s="1097" t="s">
        <v>567</v>
      </c>
      <c r="E489" s="1079">
        <v>47810</v>
      </c>
      <c r="F489" s="1079">
        <v>47810</v>
      </c>
      <c r="G489" s="1079">
        <v>40985</v>
      </c>
      <c r="H489" s="1080">
        <f t="shared" ref="H489:H549" si="116">G489/F489</f>
        <v>0.85724743777452417</v>
      </c>
    </row>
    <row r="490" spans="1:10" ht="17.100000000000001" customHeight="1">
      <c r="A490" s="1057"/>
      <c r="B490" s="1069"/>
      <c r="C490" s="1096" t="s">
        <v>568</v>
      </c>
      <c r="D490" s="1097" t="s">
        <v>569</v>
      </c>
      <c r="E490" s="1079">
        <v>40000</v>
      </c>
      <c r="F490" s="1079">
        <v>40000</v>
      </c>
      <c r="G490" s="1079">
        <v>10316</v>
      </c>
      <c r="H490" s="1080">
        <f t="shared" si="116"/>
        <v>0.25790000000000002</v>
      </c>
    </row>
    <row r="491" spans="1:10" ht="17.100000000000001" customHeight="1">
      <c r="A491" s="1057"/>
      <c r="B491" s="1069"/>
      <c r="C491" s="1098"/>
      <c r="D491" s="1098"/>
      <c r="E491" s="1075"/>
      <c r="F491" s="1075"/>
      <c r="G491" s="1075"/>
      <c r="H491" s="1076"/>
    </row>
    <row r="492" spans="1:10" ht="17.100000000000001" customHeight="1">
      <c r="A492" s="1057"/>
      <c r="B492" s="1069"/>
      <c r="C492" s="2278" t="s">
        <v>570</v>
      </c>
      <c r="D492" s="2278"/>
      <c r="E492" s="1115">
        <f>SUM(E493:E509)</f>
        <v>533513</v>
      </c>
      <c r="F492" s="1115">
        <f t="shared" ref="F492:G492" si="117">SUM(F493:F509)</f>
        <v>543513</v>
      </c>
      <c r="G492" s="1115">
        <f t="shared" si="117"/>
        <v>478523</v>
      </c>
      <c r="H492" s="1116">
        <f t="shared" si="116"/>
        <v>0.88042604316732076</v>
      </c>
    </row>
    <row r="493" spans="1:10" ht="17.100000000000001" customHeight="1">
      <c r="A493" s="1057"/>
      <c r="B493" s="1069"/>
      <c r="C493" s="1161" t="s">
        <v>571</v>
      </c>
      <c r="D493" s="1277" t="s">
        <v>572</v>
      </c>
      <c r="E493" s="1079">
        <v>23700</v>
      </c>
      <c r="F493" s="1079">
        <v>0</v>
      </c>
      <c r="G493" s="1079">
        <v>0</v>
      </c>
      <c r="H493" s="1080"/>
    </row>
    <row r="494" spans="1:10" ht="17.100000000000001" customHeight="1">
      <c r="A494" s="1057"/>
      <c r="B494" s="1069"/>
      <c r="C494" s="1096" t="s">
        <v>143</v>
      </c>
      <c r="D494" s="1097" t="s">
        <v>573</v>
      </c>
      <c r="E494" s="1079">
        <v>80000</v>
      </c>
      <c r="F494" s="1079">
        <v>79000</v>
      </c>
      <c r="G494" s="1079">
        <v>78459</v>
      </c>
      <c r="H494" s="1080">
        <f t="shared" si="116"/>
        <v>0.9931518987341772</v>
      </c>
    </row>
    <row r="495" spans="1:10" ht="17.100000000000001" customHeight="1">
      <c r="A495" s="1057"/>
      <c r="B495" s="1069"/>
      <c r="C495" s="1096" t="s">
        <v>574</v>
      </c>
      <c r="D495" s="1097" t="s">
        <v>723</v>
      </c>
      <c r="E495" s="1079">
        <v>2000</v>
      </c>
      <c r="F495" s="1079">
        <v>2000</v>
      </c>
      <c r="G495" s="1079">
        <v>1008</v>
      </c>
      <c r="H495" s="1080">
        <f t="shared" si="116"/>
        <v>0.504</v>
      </c>
    </row>
    <row r="496" spans="1:10" ht="17.100000000000001" customHeight="1">
      <c r="A496" s="1057"/>
      <c r="B496" s="1069"/>
      <c r="C496" s="1096" t="s">
        <v>724</v>
      </c>
      <c r="D496" s="1097" t="s">
        <v>725</v>
      </c>
      <c r="E496" s="1079">
        <v>1000</v>
      </c>
      <c r="F496" s="1079">
        <v>1700</v>
      </c>
      <c r="G496" s="1079">
        <v>1372</v>
      </c>
      <c r="H496" s="1080">
        <f t="shared" si="116"/>
        <v>0.80705882352941172</v>
      </c>
    </row>
    <row r="497" spans="1:8" ht="17.100000000000001" customHeight="1">
      <c r="A497" s="1057"/>
      <c r="B497" s="1069"/>
      <c r="C497" s="1096" t="s">
        <v>576</v>
      </c>
      <c r="D497" s="1097" t="s">
        <v>577</v>
      </c>
      <c r="E497" s="1079">
        <v>105000</v>
      </c>
      <c r="F497" s="1079">
        <v>105000</v>
      </c>
      <c r="G497" s="1079">
        <v>73417</v>
      </c>
      <c r="H497" s="1080">
        <f t="shared" si="116"/>
        <v>0.69920952380952384</v>
      </c>
    </row>
    <row r="498" spans="1:8" ht="17.100000000000001" customHeight="1">
      <c r="A498" s="1057"/>
      <c r="B498" s="1069"/>
      <c r="C498" s="1096" t="s">
        <v>24</v>
      </c>
      <c r="D498" s="1097" t="s">
        <v>578</v>
      </c>
      <c r="E498" s="1079">
        <v>15000</v>
      </c>
      <c r="F498" s="1079">
        <v>15000</v>
      </c>
      <c r="G498" s="1079">
        <v>11750</v>
      </c>
      <c r="H498" s="1080">
        <f t="shared" si="116"/>
        <v>0.78333333333333333</v>
      </c>
    </row>
    <row r="499" spans="1:8" ht="17.100000000000001" customHeight="1">
      <c r="A499" s="1057"/>
      <c r="B499" s="1069"/>
      <c r="C499" s="1096" t="s">
        <v>579</v>
      </c>
      <c r="D499" s="1097" t="s">
        <v>580</v>
      </c>
      <c r="E499" s="1079">
        <v>3400</v>
      </c>
      <c r="F499" s="1079">
        <v>3400</v>
      </c>
      <c r="G499" s="1079">
        <v>3075</v>
      </c>
      <c r="H499" s="1080">
        <f t="shared" si="116"/>
        <v>0.90441176470588236</v>
      </c>
    </row>
    <row r="500" spans="1:8" ht="17.100000000000001" customHeight="1">
      <c r="A500" s="1057"/>
      <c r="B500" s="1069"/>
      <c r="C500" s="1096" t="s">
        <v>25</v>
      </c>
      <c r="D500" s="1097" t="s">
        <v>581</v>
      </c>
      <c r="E500" s="1079">
        <v>94358</v>
      </c>
      <c r="F500" s="1079">
        <v>128358</v>
      </c>
      <c r="G500" s="1079">
        <v>116199</v>
      </c>
      <c r="H500" s="1080">
        <f t="shared" si="116"/>
        <v>0.90527275276959751</v>
      </c>
    </row>
    <row r="501" spans="1:8" ht="16.5" customHeight="1">
      <c r="A501" s="1057"/>
      <c r="B501" s="1069"/>
      <c r="C501" s="1096" t="s">
        <v>582</v>
      </c>
      <c r="D501" s="1097" t="s">
        <v>583</v>
      </c>
      <c r="E501" s="1079">
        <v>10120</v>
      </c>
      <c r="F501" s="1079">
        <v>10120</v>
      </c>
      <c r="G501" s="1079">
        <v>9400</v>
      </c>
      <c r="H501" s="1080">
        <f t="shared" si="116"/>
        <v>0.92885375494071143</v>
      </c>
    </row>
    <row r="502" spans="1:8" ht="16.5" customHeight="1">
      <c r="A502" s="1057"/>
      <c r="B502" s="1069"/>
      <c r="C502" s="1096" t="s">
        <v>585</v>
      </c>
      <c r="D502" s="1097" t="s">
        <v>586</v>
      </c>
      <c r="E502" s="1079">
        <v>80410</v>
      </c>
      <c r="F502" s="1079">
        <v>80410</v>
      </c>
      <c r="G502" s="1079">
        <v>78683</v>
      </c>
      <c r="H502" s="1080">
        <f t="shared" si="116"/>
        <v>0.97852257181942548</v>
      </c>
    </row>
    <row r="503" spans="1:8" ht="17.100000000000001" customHeight="1">
      <c r="A503" s="1057"/>
      <c r="B503" s="1069"/>
      <c r="C503" s="1096" t="s">
        <v>587</v>
      </c>
      <c r="D503" s="1097" t="s">
        <v>588</v>
      </c>
      <c r="E503" s="1079">
        <v>7000</v>
      </c>
      <c r="F503" s="1079">
        <v>7000</v>
      </c>
      <c r="G503" s="1079">
        <v>3846</v>
      </c>
      <c r="H503" s="1080">
        <f t="shared" si="116"/>
        <v>0.54942857142857138</v>
      </c>
    </row>
    <row r="504" spans="1:8" ht="17.100000000000001" hidden="1" customHeight="1">
      <c r="A504" s="1057"/>
      <c r="B504" s="1069"/>
      <c r="C504" s="1096" t="s">
        <v>701</v>
      </c>
      <c r="D504" s="1097" t="s">
        <v>702</v>
      </c>
      <c r="E504" s="1079">
        <v>0</v>
      </c>
      <c r="F504" s="1079"/>
      <c r="G504" s="1079"/>
      <c r="H504" s="1080" t="e">
        <f t="shared" si="116"/>
        <v>#DIV/0!</v>
      </c>
    </row>
    <row r="505" spans="1:8" ht="17.100000000000001" customHeight="1">
      <c r="A505" s="1057"/>
      <c r="B505" s="1069"/>
      <c r="C505" s="1096" t="s">
        <v>589</v>
      </c>
      <c r="D505" s="1097" t="s">
        <v>590</v>
      </c>
      <c r="E505" s="1079">
        <v>4510</v>
      </c>
      <c r="F505" s="1079">
        <v>4510</v>
      </c>
      <c r="G505" s="1079">
        <v>4125</v>
      </c>
      <c r="H505" s="1080">
        <f t="shared" si="116"/>
        <v>0.91463414634146345</v>
      </c>
    </row>
    <row r="506" spans="1:8" ht="17.100000000000001" customHeight="1">
      <c r="A506" s="1057"/>
      <c r="B506" s="1069"/>
      <c r="C506" s="1096" t="s">
        <v>591</v>
      </c>
      <c r="D506" s="1097" t="s">
        <v>592</v>
      </c>
      <c r="E506" s="1079">
        <v>77975</v>
      </c>
      <c r="F506" s="1079">
        <v>77975</v>
      </c>
      <c r="G506" s="1079">
        <v>72969</v>
      </c>
      <c r="H506" s="1080">
        <f t="shared" si="116"/>
        <v>0.93579993587688359</v>
      </c>
    </row>
    <row r="507" spans="1:8" ht="17.100000000000001" customHeight="1">
      <c r="A507" s="1057"/>
      <c r="B507" s="1069"/>
      <c r="C507" s="1096" t="s">
        <v>593</v>
      </c>
      <c r="D507" s="1097" t="s">
        <v>594</v>
      </c>
      <c r="E507" s="1079">
        <v>7000</v>
      </c>
      <c r="F507" s="1079">
        <v>7000</v>
      </c>
      <c r="G507" s="1079">
        <v>4563</v>
      </c>
      <c r="H507" s="1080">
        <f t="shared" si="116"/>
        <v>0.6518571428571428</v>
      </c>
    </row>
    <row r="508" spans="1:8" ht="17.100000000000001" customHeight="1">
      <c r="A508" s="1057"/>
      <c r="B508" s="1069"/>
      <c r="C508" s="1096" t="s">
        <v>597</v>
      </c>
      <c r="D508" s="1097" t="s">
        <v>598</v>
      </c>
      <c r="E508" s="1079">
        <v>11040</v>
      </c>
      <c r="F508" s="1079">
        <v>11040</v>
      </c>
      <c r="G508" s="1079">
        <v>11040</v>
      </c>
      <c r="H508" s="1080">
        <f t="shared" si="116"/>
        <v>1</v>
      </c>
    </row>
    <row r="509" spans="1:8" ht="17.100000000000001" customHeight="1">
      <c r="A509" s="1057"/>
      <c r="B509" s="1069"/>
      <c r="C509" s="1096" t="s">
        <v>148</v>
      </c>
      <c r="D509" s="1097" t="s">
        <v>601</v>
      </c>
      <c r="E509" s="1079">
        <v>11000</v>
      </c>
      <c r="F509" s="1079">
        <v>11000</v>
      </c>
      <c r="G509" s="1079">
        <v>8617</v>
      </c>
      <c r="H509" s="1080">
        <f t="shared" si="116"/>
        <v>0.78336363636363637</v>
      </c>
    </row>
    <row r="510" spans="1:8" ht="17.100000000000001" customHeight="1">
      <c r="A510" s="1057"/>
      <c r="B510" s="1069"/>
      <c r="C510" s="1098"/>
      <c r="D510" s="1098"/>
      <c r="E510" s="1075"/>
      <c r="F510" s="1075"/>
      <c r="G510" s="1075"/>
      <c r="H510" s="1076"/>
    </row>
    <row r="511" spans="1:8" ht="17.100000000000001" customHeight="1">
      <c r="A511" s="1057"/>
      <c r="B511" s="1069"/>
      <c r="C511" s="2272" t="s">
        <v>602</v>
      </c>
      <c r="D511" s="2272"/>
      <c r="E511" s="1079">
        <f t="shared" ref="E511:G511" si="118">E512</f>
        <v>8000</v>
      </c>
      <c r="F511" s="1079">
        <f t="shared" si="118"/>
        <v>8000</v>
      </c>
      <c r="G511" s="1079">
        <f t="shared" si="118"/>
        <v>4638</v>
      </c>
      <c r="H511" s="1080">
        <f t="shared" si="116"/>
        <v>0.57974999999999999</v>
      </c>
    </row>
    <row r="512" spans="1:8" ht="17.100000000000001" customHeight="1">
      <c r="A512" s="1057"/>
      <c r="B512" s="1069"/>
      <c r="C512" s="1087" t="s">
        <v>603</v>
      </c>
      <c r="D512" s="1088" t="s">
        <v>604</v>
      </c>
      <c r="E512" s="1185">
        <v>8000</v>
      </c>
      <c r="F512" s="1185">
        <v>8000</v>
      </c>
      <c r="G512" s="1185">
        <v>4638</v>
      </c>
      <c r="H512" s="1186">
        <f t="shared" si="116"/>
        <v>0.57974999999999999</v>
      </c>
    </row>
    <row r="513" spans="1:8" ht="17.100000000000001" customHeight="1">
      <c r="A513" s="1057"/>
      <c r="B513" s="1069"/>
      <c r="C513" s="2230"/>
      <c r="D513" s="2231"/>
      <c r="E513" s="1183"/>
      <c r="F513" s="1183"/>
      <c r="G513" s="1183"/>
      <c r="H513" s="1184"/>
    </row>
    <row r="514" spans="1:8" ht="17.100000000000001" customHeight="1">
      <c r="A514" s="1057"/>
      <c r="B514" s="1069"/>
      <c r="C514" s="2301" t="s">
        <v>605</v>
      </c>
      <c r="D514" s="2302"/>
      <c r="E514" s="1278">
        <f>E515</f>
        <v>10000</v>
      </c>
      <c r="F514" s="1278">
        <f t="shared" ref="F514:G514" si="119">F515</f>
        <v>0</v>
      </c>
      <c r="G514" s="1278">
        <f t="shared" si="119"/>
        <v>0</v>
      </c>
      <c r="H514" s="1279"/>
    </row>
    <row r="515" spans="1:8" ht="17.100000000000001" customHeight="1">
      <c r="A515" s="1057"/>
      <c r="B515" s="1069"/>
      <c r="C515" s="2303" t="s">
        <v>706</v>
      </c>
      <c r="D515" s="2272"/>
      <c r="E515" s="1185">
        <f>SUM(E516:E516)</f>
        <v>10000</v>
      </c>
      <c r="F515" s="1185">
        <f t="shared" ref="F515:G515" si="120">SUM(F516:F516)</f>
        <v>0</v>
      </c>
      <c r="G515" s="1185">
        <f t="shared" si="120"/>
        <v>0</v>
      </c>
      <c r="H515" s="1186"/>
    </row>
    <row r="516" spans="1:8" ht="17.100000000000001" customHeight="1" thickBot="1">
      <c r="A516" s="1057"/>
      <c r="B516" s="1069"/>
      <c r="C516" s="1179" t="s">
        <v>144</v>
      </c>
      <c r="D516" s="1097" t="s">
        <v>650</v>
      </c>
      <c r="E516" s="1185">
        <v>10000</v>
      </c>
      <c r="F516" s="1185">
        <v>0</v>
      </c>
      <c r="G516" s="1185">
        <v>0</v>
      </c>
      <c r="H516" s="1186"/>
    </row>
    <row r="517" spans="1:8" ht="17.100000000000001" customHeight="1" thickBot="1">
      <c r="A517" s="1057"/>
      <c r="B517" s="1144" t="s">
        <v>726</v>
      </c>
      <c r="C517" s="1145"/>
      <c r="D517" s="1146" t="s">
        <v>354</v>
      </c>
      <c r="E517" s="1147">
        <f t="shared" ref="E517:G517" si="121">E518</f>
        <v>52460602</v>
      </c>
      <c r="F517" s="1147">
        <f t="shared" si="121"/>
        <v>38684489</v>
      </c>
      <c r="G517" s="1147">
        <f t="shared" si="121"/>
        <v>26231284</v>
      </c>
      <c r="H517" s="1148">
        <f t="shared" si="116"/>
        <v>0.67808273233233096</v>
      </c>
    </row>
    <row r="518" spans="1:8" ht="17.100000000000001" customHeight="1">
      <c r="A518" s="1057"/>
      <c r="B518" s="1069"/>
      <c r="C518" s="2112" t="s">
        <v>560</v>
      </c>
      <c r="D518" s="2112"/>
      <c r="E518" s="1063">
        <f>E519+E541+E544</f>
        <v>52460602</v>
      </c>
      <c r="F518" s="1063">
        <f t="shared" ref="F518:G518" si="122">F519+F541+F544</f>
        <v>38684489</v>
      </c>
      <c r="G518" s="1063">
        <f t="shared" si="122"/>
        <v>26231284</v>
      </c>
      <c r="H518" s="1064">
        <f t="shared" si="116"/>
        <v>0.67808273233233096</v>
      </c>
    </row>
    <row r="519" spans="1:8" ht="17.100000000000001" customHeight="1">
      <c r="A519" s="1057"/>
      <c r="B519" s="1069"/>
      <c r="C519" s="2276" t="s">
        <v>561</v>
      </c>
      <c r="D519" s="2276"/>
      <c r="E519" s="1079">
        <f>E520+E527</f>
        <v>903982</v>
      </c>
      <c r="F519" s="1079">
        <f t="shared" ref="F519:G519" si="123">F520+F527</f>
        <v>920121</v>
      </c>
      <c r="G519" s="1079">
        <f t="shared" si="123"/>
        <v>904858</v>
      </c>
      <c r="H519" s="1080">
        <f t="shared" si="116"/>
        <v>0.9834119642960002</v>
      </c>
    </row>
    <row r="520" spans="1:8" ht="17.100000000000001" customHeight="1">
      <c r="A520" s="1057"/>
      <c r="B520" s="1069"/>
      <c r="C520" s="2277" t="s">
        <v>562</v>
      </c>
      <c r="D520" s="2277"/>
      <c r="E520" s="1115">
        <f>SUM(E521:E525)</f>
        <v>612282</v>
      </c>
      <c r="F520" s="1115">
        <f t="shared" ref="F520:G520" si="124">SUM(F521:F525)</f>
        <v>648462</v>
      </c>
      <c r="G520" s="1115">
        <f t="shared" si="124"/>
        <v>644349</v>
      </c>
      <c r="H520" s="1116">
        <f t="shared" si="116"/>
        <v>0.99365729988804274</v>
      </c>
    </row>
    <row r="521" spans="1:8" ht="17.100000000000001" customHeight="1">
      <c r="A521" s="1057"/>
      <c r="B521" s="1069"/>
      <c r="C521" s="1096" t="s">
        <v>145</v>
      </c>
      <c r="D521" s="1097" t="s">
        <v>563</v>
      </c>
      <c r="E521" s="1079">
        <v>461836</v>
      </c>
      <c r="F521" s="1079">
        <v>492761</v>
      </c>
      <c r="G521" s="1079">
        <v>492738</v>
      </c>
      <c r="H521" s="1080">
        <f t="shared" si="116"/>
        <v>0.99995332422817551</v>
      </c>
    </row>
    <row r="522" spans="1:8" ht="17.100000000000001" customHeight="1">
      <c r="A522" s="1057"/>
      <c r="B522" s="1069"/>
      <c r="C522" s="1096" t="s">
        <v>564</v>
      </c>
      <c r="D522" s="1097" t="s">
        <v>565</v>
      </c>
      <c r="E522" s="1079">
        <v>33214</v>
      </c>
      <c r="F522" s="1079">
        <v>33214</v>
      </c>
      <c r="G522" s="1079">
        <v>31228</v>
      </c>
      <c r="H522" s="1080">
        <f t="shared" si="116"/>
        <v>0.94020593725537427</v>
      </c>
    </row>
    <row r="523" spans="1:8" ht="17.100000000000001" customHeight="1">
      <c r="A523" s="1057"/>
      <c r="B523" s="1069"/>
      <c r="C523" s="1096" t="s">
        <v>146</v>
      </c>
      <c r="D523" s="1097" t="s">
        <v>566</v>
      </c>
      <c r="E523" s="1079">
        <v>87396</v>
      </c>
      <c r="F523" s="1079">
        <v>92712</v>
      </c>
      <c r="G523" s="1079">
        <v>91646</v>
      </c>
      <c r="H523" s="1080">
        <f t="shared" si="116"/>
        <v>0.98850202778496854</v>
      </c>
    </row>
    <row r="524" spans="1:8" ht="17.100000000000001" customHeight="1">
      <c r="A524" s="1057"/>
      <c r="B524" s="1069"/>
      <c r="C524" s="1096" t="s">
        <v>147</v>
      </c>
      <c r="D524" s="1097" t="s">
        <v>567</v>
      </c>
      <c r="E524" s="1079">
        <v>11836</v>
      </c>
      <c r="F524" s="1079">
        <v>11775</v>
      </c>
      <c r="G524" s="1079">
        <v>11007</v>
      </c>
      <c r="H524" s="1080">
        <f t="shared" si="116"/>
        <v>0.93477707006369426</v>
      </c>
    </row>
    <row r="525" spans="1:8" ht="17.100000000000001" customHeight="1">
      <c r="A525" s="1057"/>
      <c r="B525" s="1069"/>
      <c r="C525" s="1096" t="s">
        <v>568</v>
      </c>
      <c r="D525" s="1097" t="s">
        <v>569</v>
      </c>
      <c r="E525" s="1079">
        <v>18000</v>
      </c>
      <c r="F525" s="1079">
        <v>18000</v>
      </c>
      <c r="G525" s="1079">
        <v>17730</v>
      </c>
      <c r="H525" s="1080">
        <f t="shared" si="116"/>
        <v>0.98499999999999999</v>
      </c>
    </row>
    <row r="526" spans="1:8" ht="17.100000000000001" customHeight="1">
      <c r="A526" s="1057"/>
      <c r="B526" s="1069"/>
      <c r="C526" s="1213"/>
      <c r="D526" s="1214"/>
      <c r="E526" s="1215"/>
      <c r="F526" s="1215"/>
      <c r="G526" s="1215"/>
      <c r="H526" s="1216"/>
    </row>
    <row r="527" spans="1:8" ht="17.100000000000001" customHeight="1">
      <c r="A527" s="1057"/>
      <c r="B527" s="1069"/>
      <c r="C527" s="2291" t="s">
        <v>570</v>
      </c>
      <c r="D527" s="2291"/>
      <c r="E527" s="1227">
        <f>SUM(E528:E539)</f>
        <v>291700</v>
      </c>
      <c r="F527" s="1227">
        <f>SUM(F528:F539)</f>
        <v>271659</v>
      </c>
      <c r="G527" s="1227">
        <f>SUM(G528:G539)</f>
        <v>260509</v>
      </c>
      <c r="H527" s="1228">
        <f t="shared" si="116"/>
        <v>0.95895589691488226</v>
      </c>
    </row>
    <row r="528" spans="1:8" ht="17.100000000000001" customHeight="1">
      <c r="A528" s="1057"/>
      <c r="B528" s="1069"/>
      <c r="C528" s="1096" t="s">
        <v>143</v>
      </c>
      <c r="D528" s="1097" t="s">
        <v>573</v>
      </c>
      <c r="E528" s="1079">
        <v>50900</v>
      </c>
      <c r="F528" s="1079">
        <v>26720</v>
      </c>
      <c r="G528" s="1079">
        <v>26713</v>
      </c>
      <c r="H528" s="1080">
        <f t="shared" si="116"/>
        <v>0.99973802395209577</v>
      </c>
    </row>
    <row r="529" spans="1:8" ht="17.100000000000001" customHeight="1">
      <c r="A529" s="1057"/>
      <c r="B529" s="1069"/>
      <c r="C529" s="1096" t="s">
        <v>574</v>
      </c>
      <c r="D529" s="1097" t="s">
        <v>575</v>
      </c>
      <c r="E529" s="1079">
        <v>500</v>
      </c>
      <c r="F529" s="1079">
        <v>500</v>
      </c>
      <c r="G529" s="1079">
        <v>500</v>
      </c>
      <c r="H529" s="1080">
        <f t="shared" si="116"/>
        <v>1</v>
      </c>
    </row>
    <row r="530" spans="1:8" ht="17.100000000000001" customHeight="1">
      <c r="A530" s="1057"/>
      <c r="B530" s="1069"/>
      <c r="C530" s="1096" t="s">
        <v>576</v>
      </c>
      <c r="D530" s="1097" t="s">
        <v>577</v>
      </c>
      <c r="E530" s="1079">
        <v>24900</v>
      </c>
      <c r="F530" s="1079">
        <v>24900</v>
      </c>
      <c r="G530" s="1079">
        <v>21308</v>
      </c>
      <c r="H530" s="1080">
        <f t="shared" si="116"/>
        <v>0.85574297188755022</v>
      </c>
    </row>
    <row r="531" spans="1:8" ht="17.100000000000001" customHeight="1">
      <c r="A531" s="1057"/>
      <c r="B531" s="1069"/>
      <c r="C531" s="1096" t="s">
        <v>24</v>
      </c>
      <c r="D531" s="1097" t="s">
        <v>578</v>
      </c>
      <c r="E531" s="1079">
        <v>5000</v>
      </c>
      <c r="F531" s="1079">
        <v>5000</v>
      </c>
      <c r="G531" s="1079">
        <v>4799</v>
      </c>
      <c r="H531" s="1080">
        <f t="shared" si="116"/>
        <v>0.95979999999999999</v>
      </c>
    </row>
    <row r="532" spans="1:8" ht="17.100000000000001" customHeight="1">
      <c r="A532" s="1057"/>
      <c r="B532" s="1069"/>
      <c r="C532" s="1096" t="s">
        <v>579</v>
      </c>
      <c r="D532" s="1097" t="s">
        <v>580</v>
      </c>
      <c r="E532" s="1079">
        <v>700</v>
      </c>
      <c r="F532" s="1079">
        <v>700</v>
      </c>
      <c r="G532" s="1079">
        <v>349</v>
      </c>
      <c r="H532" s="1080">
        <f t="shared" si="116"/>
        <v>0.49857142857142855</v>
      </c>
    </row>
    <row r="533" spans="1:8" ht="17.100000000000001" customHeight="1">
      <c r="A533" s="1057"/>
      <c r="B533" s="1069"/>
      <c r="C533" s="1096" t="s">
        <v>25</v>
      </c>
      <c r="D533" s="1097" t="s">
        <v>581</v>
      </c>
      <c r="E533" s="1079">
        <v>151900</v>
      </c>
      <c r="F533" s="1079">
        <v>158039</v>
      </c>
      <c r="G533" s="1079">
        <v>156665</v>
      </c>
      <c r="H533" s="1080">
        <f t="shared" si="116"/>
        <v>0.99130594346964984</v>
      </c>
    </row>
    <row r="534" spans="1:8" ht="16.5" customHeight="1">
      <c r="A534" s="1057"/>
      <c r="B534" s="1069"/>
      <c r="C534" s="1096" t="s">
        <v>582</v>
      </c>
      <c r="D534" s="1097" t="s">
        <v>727</v>
      </c>
      <c r="E534" s="1079">
        <v>7000</v>
      </c>
      <c r="F534" s="1079">
        <v>7000</v>
      </c>
      <c r="G534" s="1079">
        <v>6382</v>
      </c>
      <c r="H534" s="1080">
        <f t="shared" si="116"/>
        <v>0.9117142857142857</v>
      </c>
    </row>
    <row r="535" spans="1:8" ht="19.5" customHeight="1">
      <c r="A535" s="1057"/>
      <c r="B535" s="1069"/>
      <c r="C535" s="1096" t="s">
        <v>585</v>
      </c>
      <c r="D535" s="1097" t="s">
        <v>586</v>
      </c>
      <c r="E535" s="1079">
        <v>29500</v>
      </c>
      <c r="F535" s="1079">
        <v>29500</v>
      </c>
      <c r="G535" s="1079">
        <v>29442</v>
      </c>
      <c r="H535" s="1080">
        <f t="shared" si="116"/>
        <v>0.99803389830508471</v>
      </c>
    </row>
    <row r="536" spans="1:8" ht="17.100000000000001" customHeight="1">
      <c r="A536" s="1057"/>
      <c r="B536" s="1069"/>
      <c r="C536" s="1096" t="s">
        <v>587</v>
      </c>
      <c r="D536" s="1097" t="s">
        <v>588</v>
      </c>
      <c r="E536" s="1079">
        <v>5500</v>
      </c>
      <c r="F536" s="1079">
        <v>2500</v>
      </c>
      <c r="G536" s="1079">
        <v>550</v>
      </c>
      <c r="H536" s="1080">
        <f t="shared" si="116"/>
        <v>0.22</v>
      </c>
    </row>
    <row r="537" spans="1:8" ht="17.100000000000001" customHeight="1">
      <c r="A537" s="1057"/>
      <c r="B537" s="1069"/>
      <c r="C537" s="1096" t="s">
        <v>589</v>
      </c>
      <c r="D537" s="1097" t="s">
        <v>590</v>
      </c>
      <c r="E537" s="1079">
        <v>1500</v>
      </c>
      <c r="F537" s="1079">
        <v>1468</v>
      </c>
      <c r="G537" s="1079">
        <v>690</v>
      </c>
      <c r="H537" s="1080">
        <f t="shared" si="116"/>
        <v>0.47002724795640327</v>
      </c>
    </row>
    <row r="538" spans="1:8" ht="17.100000000000001" customHeight="1">
      <c r="A538" s="1057"/>
      <c r="B538" s="1069"/>
      <c r="C538" s="1096" t="s">
        <v>591</v>
      </c>
      <c r="D538" s="1097" t="s">
        <v>592</v>
      </c>
      <c r="E538" s="1079">
        <v>8300</v>
      </c>
      <c r="F538" s="1079">
        <v>9332</v>
      </c>
      <c r="G538" s="1079">
        <v>9331</v>
      </c>
      <c r="H538" s="1080">
        <f t="shared" si="116"/>
        <v>0.99989284183454774</v>
      </c>
    </row>
    <row r="539" spans="1:8" ht="17.100000000000001" customHeight="1">
      <c r="A539" s="1057"/>
      <c r="B539" s="1069"/>
      <c r="C539" s="1096" t="s">
        <v>148</v>
      </c>
      <c r="D539" s="1097" t="s">
        <v>601</v>
      </c>
      <c r="E539" s="1079">
        <v>6000</v>
      </c>
      <c r="F539" s="1079">
        <v>6000</v>
      </c>
      <c r="G539" s="1079">
        <v>3780</v>
      </c>
      <c r="H539" s="1080">
        <f t="shared" si="116"/>
        <v>0.63</v>
      </c>
    </row>
    <row r="540" spans="1:8" ht="17.100000000000001" customHeight="1">
      <c r="A540" s="1057"/>
      <c r="B540" s="1069"/>
      <c r="C540" s="1098"/>
      <c r="D540" s="1098"/>
      <c r="E540" s="1075"/>
      <c r="F540" s="1075"/>
      <c r="G540" s="1075"/>
      <c r="H540" s="1076"/>
    </row>
    <row r="541" spans="1:8" ht="17.100000000000001" customHeight="1">
      <c r="A541" s="1057"/>
      <c r="B541" s="1069"/>
      <c r="C541" s="2300" t="s">
        <v>602</v>
      </c>
      <c r="D541" s="2300"/>
      <c r="E541" s="1185">
        <f>E542</f>
        <v>1130</v>
      </c>
      <c r="F541" s="1185">
        <f t="shared" ref="F541:G541" si="125">F542</f>
        <v>1130</v>
      </c>
      <c r="G541" s="1185">
        <f t="shared" si="125"/>
        <v>1061</v>
      </c>
      <c r="H541" s="1186">
        <f t="shared" si="116"/>
        <v>0.93893805309734513</v>
      </c>
    </row>
    <row r="542" spans="1:8" ht="17.100000000000001" customHeight="1">
      <c r="A542" s="1057"/>
      <c r="B542" s="1069"/>
      <c r="C542" s="1249" t="s">
        <v>603</v>
      </c>
      <c r="D542" s="1250" t="s">
        <v>604</v>
      </c>
      <c r="E542" s="1079">
        <v>1130</v>
      </c>
      <c r="F542" s="1079">
        <v>1130</v>
      </c>
      <c r="G542" s="1079">
        <v>1061</v>
      </c>
      <c r="H542" s="1080">
        <f t="shared" si="116"/>
        <v>0.93893805309734513</v>
      </c>
    </row>
    <row r="543" spans="1:8" ht="17.100000000000001" customHeight="1">
      <c r="A543" s="1057"/>
      <c r="B543" s="1069"/>
      <c r="C543" s="1266"/>
      <c r="D543" s="1272"/>
      <c r="E543" s="1081"/>
      <c r="F543" s="1081"/>
      <c r="G543" s="1081"/>
      <c r="H543" s="1082"/>
    </row>
    <row r="544" spans="1:8" ht="17.25" customHeight="1">
      <c r="A544" s="1057"/>
      <c r="B544" s="1069"/>
      <c r="C544" s="2276" t="s">
        <v>616</v>
      </c>
      <c r="D544" s="2276"/>
      <c r="E544" s="1280">
        <f>SUM(E545:E549)</f>
        <v>51555490</v>
      </c>
      <c r="F544" s="1280">
        <f t="shared" ref="F544:G544" si="126">SUM(F545:F549)</f>
        <v>37763238</v>
      </c>
      <c r="G544" s="1280">
        <f t="shared" si="126"/>
        <v>25325365</v>
      </c>
      <c r="H544" s="1281">
        <f t="shared" si="116"/>
        <v>0.670635420617268</v>
      </c>
    </row>
    <row r="545" spans="1:8" ht="52.5" customHeight="1">
      <c r="A545" s="1057"/>
      <c r="B545" s="1069"/>
      <c r="C545" s="1096" t="s">
        <v>456</v>
      </c>
      <c r="D545" s="1143" t="s">
        <v>619</v>
      </c>
      <c r="E545" s="1280">
        <f>83236272-33811764</f>
        <v>49424508</v>
      </c>
      <c r="F545" s="1280">
        <v>36496719</v>
      </c>
      <c r="G545" s="1280">
        <v>24538783</v>
      </c>
      <c r="H545" s="1281">
        <f t="shared" si="116"/>
        <v>0.67235586300237016</v>
      </c>
    </row>
    <row r="546" spans="1:8" ht="42" customHeight="1">
      <c r="A546" s="1057"/>
      <c r="B546" s="1069"/>
      <c r="C546" s="1087" t="s">
        <v>362</v>
      </c>
      <c r="D546" s="1282" t="s">
        <v>666</v>
      </c>
      <c r="E546" s="1283">
        <v>0</v>
      </c>
      <c r="F546" s="1283">
        <v>100000</v>
      </c>
      <c r="G546" s="1283">
        <v>17071</v>
      </c>
      <c r="H546" s="1284">
        <f t="shared" si="116"/>
        <v>0.17071</v>
      </c>
    </row>
    <row r="547" spans="1:8" ht="16.5" customHeight="1">
      <c r="A547" s="1057"/>
      <c r="B547" s="1069"/>
      <c r="C547" s="1077" t="s">
        <v>672</v>
      </c>
      <c r="D547" s="1285" t="s">
        <v>581</v>
      </c>
      <c r="E547" s="1103">
        <f>2406912-982748</f>
        <v>1424164</v>
      </c>
      <c r="F547" s="1103">
        <v>822422</v>
      </c>
      <c r="G547" s="1103">
        <v>444834</v>
      </c>
      <c r="H547" s="1104">
        <f t="shared" si="116"/>
        <v>0.5408829043970127</v>
      </c>
    </row>
    <row r="548" spans="1:8" ht="15" customHeight="1">
      <c r="A548" s="1057"/>
      <c r="B548" s="1069"/>
      <c r="C548" s="1107" t="s">
        <v>638</v>
      </c>
      <c r="D548" s="1286" t="s">
        <v>581</v>
      </c>
      <c r="E548" s="1081">
        <f>1314324-607506</f>
        <v>706818</v>
      </c>
      <c r="F548" s="1081">
        <v>339097</v>
      </c>
      <c r="G548" s="1081">
        <v>324190</v>
      </c>
      <c r="H548" s="1082">
        <f t="shared" si="116"/>
        <v>0.95603912744730857</v>
      </c>
    </row>
    <row r="549" spans="1:8" ht="42" customHeight="1" thickBot="1">
      <c r="A549" s="1057"/>
      <c r="B549" s="1069"/>
      <c r="C549" s="1251" t="s">
        <v>662</v>
      </c>
      <c r="D549" s="1287" t="s">
        <v>663</v>
      </c>
      <c r="E549" s="1089">
        <v>0</v>
      </c>
      <c r="F549" s="1089">
        <v>5000</v>
      </c>
      <c r="G549" s="1089">
        <v>487</v>
      </c>
      <c r="H549" s="1090">
        <f t="shared" si="116"/>
        <v>9.74E-2</v>
      </c>
    </row>
    <row r="550" spans="1:8" ht="17.100000000000001" customHeight="1" thickBot="1">
      <c r="A550" s="1057"/>
      <c r="B550" s="1144" t="s">
        <v>728</v>
      </c>
      <c r="C550" s="1288"/>
      <c r="D550" s="1146" t="s">
        <v>11</v>
      </c>
      <c r="E550" s="1147">
        <f>E551</f>
        <v>100000</v>
      </c>
      <c r="F550" s="1147">
        <f t="shared" ref="F550:G550" si="127">F551</f>
        <v>0</v>
      </c>
      <c r="G550" s="1147">
        <f t="shared" si="127"/>
        <v>0</v>
      </c>
      <c r="H550" s="1148"/>
    </row>
    <row r="551" spans="1:8" ht="17.100000000000001" customHeight="1">
      <c r="A551" s="1057"/>
      <c r="B551" s="2258"/>
      <c r="C551" s="2112" t="s">
        <v>560</v>
      </c>
      <c r="D551" s="2112"/>
      <c r="E551" s="1063">
        <f t="shared" ref="E551:G553" si="128">E552</f>
        <v>100000</v>
      </c>
      <c r="F551" s="1063">
        <f t="shared" si="128"/>
        <v>0</v>
      </c>
      <c r="G551" s="1063">
        <f t="shared" si="128"/>
        <v>0</v>
      </c>
      <c r="H551" s="1064"/>
    </row>
    <row r="552" spans="1:8" ht="17.100000000000001" customHeight="1">
      <c r="A552" s="1057"/>
      <c r="B552" s="2258"/>
      <c r="C552" s="2276" t="s">
        <v>561</v>
      </c>
      <c r="D552" s="2276"/>
      <c r="E552" s="1079">
        <f t="shared" si="128"/>
        <v>100000</v>
      </c>
      <c r="F552" s="1079">
        <f t="shared" si="128"/>
        <v>0</v>
      </c>
      <c r="G552" s="1079">
        <f t="shared" si="128"/>
        <v>0</v>
      </c>
      <c r="H552" s="1080"/>
    </row>
    <row r="553" spans="1:8" ht="17.100000000000001" customHeight="1">
      <c r="A553" s="1057"/>
      <c r="B553" s="2258"/>
      <c r="C553" s="2278" t="s">
        <v>570</v>
      </c>
      <c r="D553" s="2278"/>
      <c r="E553" s="1115">
        <f>E554</f>
        <v>100000</v>
      </c>
      <c r="F553" s="1115">
        <f t="shared" si="128"/>
        <v>0</v>
      </c>
      <c r="G553" s="1115">
        <f t="shared" si="128"/>
        <v>0</v>
      </c>
      <c r="H553" s="1116"/>
    </row>
    <row r="554" spans="1:8" ht="17.100000000000001" customHeight="1" thickBot="1">
      <c r="A554" s="1057"/>
      <c r="B554" s="2258"/>
      <c r="C554" s="1096" t="s">
        <v>24</v>
      </c>
      <c r="D554" s="1097" t="s">
        <v>578</v>
      </c>
      <c r="E554" s="1079">
        <v>100000</v>
      </c>
      <c r="F554" s="1079">
        <v>0</v>
      </c>
      <c r="G554" s="1079">
        <v>0</v>
      </c>
      <c r="H554" s="1080"/>
    </row>
    <row r="555" spans="1:8" ht="17.100000000000001" customHeight="1" thickBot="1">
      <c r="A555" s="1051" t="s">
        <v>729</v>
      </c>
      <c r="B555" s="1052"/>
      <c r="C555" s="1053"/>
      <c r="D555" s="1054" t="s">
        <v>730</v>
      </c>
      <c r="E555" s="1055">
        <f t="shared" ref="E555:G555" si="129">E556</f>
        <v>30176969</v>
      </c>
      <c r="F555" s="1055">
        <f t="shared" si="129"/>
        <v>28426035</v>
      </c>
      <c r="G555" s="1055">
        <f t="shared" si="129"/>
        <v>5350837</v>
      </c>
      <c r="H555" s="1056">
        <f t="shared" ref="H555:H618" si="130">G555/F555</f>
        <v>0.18823719171527087</v>
      </c>
    </row>
    <row r="556" spans="1:8" ht="17.100000000000001" customHeight="1" thickBot="1">
      <c r="A556" s="1057"/>
      <c r="B556" s="1144" t="s">
        <v>731</v>
      </c>
      <c r="C556" s="1145"/>
      <c r="D556" s="1146" t="s">
        <v>11</v>
      </c>
      <c r="E556" s="1147">
        <f>E557+E571</f>
        <v>30176969</v>
      </c>
      <c r="F556" s="1147">
        <f t="shared" ref="F556:G556" si="131">F557+F571</f>
        <v>28426035</v>
      </c>
      <c r="G556" s="1147">
        <f t="shared" si="131"/>
        <v>5350837</v>
      </c>
      <c r="H556" s="1148">
        <f t="shared" si="130"/>
        <v>0.18823719171527087</v>
      </c>
    </row>
    <row r="557" spans="1:8" ht="17.100000000000001" customHeight="1">
      <c r="A557" s="1057"/>
      <c r="B557" s="2258"/>
      <c r="C557" s="2112" t="s">
        <v>560</v>
      </c>
      <c r="D557" s="2112"/>
      <c r="E557" s="1063">
        <f t="shared" ref="E557:G558" si="132">E558</f>
        <v>6113162</v>
      </c>
      <c r="F557" s="1063">
        <f t="shared" si="132"/>
        <v>6113162</v>
      </c>
      <c r="G557" s="1063">
        <f t="shared" si="132"/>
        <v>5094283</v>
      </c>
      <c r="H557" s="1064">
        <f t="shared" si="130"/>
        <v>0.8333302798126403</v>
      </c>
    </row>
    <row r="558" spans="1:8" ht="17.100000000000001" customHeight="1">
      <c r="A558" s="1057"/>
      <c r="B558" s="2258"/>
      <c r="C558" s="2276" t="s">
        <v>561</v>
      </c>
      <c r="D558" s="2276"/>
      <c r="E558" s="1079">
        <f>E559</f>
        <v>6113162</v>
      </c>
      <c r="F558" s="1079">
        <f t="shared" si="132"/>
        <v>6113162</v>
      </c>
      <c r="G558" s="1079">
        <f t="shared" si="132"/>
        <v>5094283</v>
      </c>
      <c r="H558" s="1080">
        <f t="shared" si="130"/>
        <v>0.8333302798126403</v>
      </c>
    </row>
    <row r="559" spans="1:8" ht="17.100000000000001" customHeight="1">
      <c r="A559" s="1057"/>
      <c r="B559" s="2258"/>
      <c r="C559" s="2278" t="s">
        <v>570</v>
      </c>
      <c r="D559" s="2278"/>
      <c r="E559" s="1115">
        <f>SUM(E560:E569)</f>
        <v>6113162</v>
      </c>
      <c r="F559" s="1115">
        <f t="shared" ref="F559:G559" si="133">SUM(F560:F569)</f>
        <v>6113162</v>
      </c>
      <c r="G559" s="1115">
        <f t="shared" si="133"/>
        <v>5094283</v>
      </c>
      <c r="H559" s="1116">
        <f t="shared" si="130"/>
        <v>0.8333302798126403</v>
      </c>
    </row>
    <row r="560" spans="1:8" ht="17.100000000000001" customHeight="1">
      <c r="A560" s="1057"/>
      <c r="B560" s="2258"/>
      <c r="C560" s="1096" t="s">
        <v>143</v>
      </c>
      <c r="D560" s="1097" t="s">
        <v>573</v>
      </c>
      <c r="E560" s="1079">
        <v>100000</v>
      </c>
      <c r="F560" s="1079">
        <v>129500</v>
      </c>
      <c r="G560" s="1079">
        <v>15836</v>
      </c>
      <c r="H560" s="1080">
        <f t="shared" si="130"/>
        <v>0.12228571428571429</v>
      </c>
    </row>
    <row r="561" spans="1:8" ht="17.100000000000001" customHeight="1">
      <c r="A561" s="1057"/>
      <c r="B561" s="2258"/>
      <c r="C561" s="1096" t="s">
        <v>576</v>
      </c>
      <c r="D561" s="1097" t="s">
        <v>577</v>
      </c>
      <c r="E561" s="1079">
        <v>16000</v>
      </c>
      <c r="F561" s="1079">
        <v>16000</v>
      </c>
      <c r="G561" s="1079">
        <v>13892</v>
      </c>
      <c r="H561" s="1080">
        <f t="shared" si="130"/>
        <v>0.86824999999999997</v>
      </c>
    </row>
    <row r="562" spans="1:8" ht="17.100000000000001" customHeight="1">
      <c r="A562" s="1057"/>
      <c r="B562" s="2258"/>
      <c r="C562" s="1096" t="s">
        <v>24</v>
      </c>
      <c r="D562" s="1097" t="s">
        <v>578</v>
      </c>
      <c r="E562" s="1079">
        <v>270000</v>
      </c>
      <c r="F562" s="1079">
        <v>270000</v>
      </c>
      <c r="G562" s="1079">
        <v>269997</v>
      </c>
      <c r="H562" s="1080">
        <f t="shared" si="130"/>
        <v>0.99998888888888893</v>
      </c>
    </row>
    <row r="563" spans="1:8" ht="17.100000000000001" customHeight="1">
      <c r="A563" s="1057"/>
      <c r="B563" s="2258"/>
      <c r="C563" s="1096" t="s">
        <v>25</v>
      </c>
      <c r="D563" s="1097" t="s">
        <v>581</v>
      </c>
      <c r="E563" s="1079">
        <v>603340</v>
      </c>
      <c r="F563" s="1079">
        <v>544240</v>
      </c>
      <c r="G563" s="1079">
        <v>136014</v>
      </c>
      <c r="H563" s="1080">
        <f t="shared" si="130"/>
        <v>0.24991547846538292</v>
      </c>
    </row>
    <row r="564" spans="1:8" ht="17.100000000000001" customHeight="1">
      <c r="A564" s="1057"/>
      <c r="B564" s="2258"/>
      <c r="C564" s="1096" t="s">
        <v>582</v>
      </c>
      <c r="D564" s="1097" t="s">
        <v>583</v>
      </c>
      <c r="E564" s="1079">
        <v>3000</v>
      </c>
      <c r="F564" s="1079">
        <v>3000</v>
      </c>
      <c r="G564" s="1079">
        <v>2922</v>
      </c>
      <c r="H564" s="1080">
        <f t="shared" si="130"/>
        <v>0.97399999999999998</v>
      </c>
    </row>
    <row r="565" spans="1:8" ht="17.100000000000001" customHeight="1">
      <c r="A565" s="1057"/>
      <c r="B565" s="2258"/>
      <c r="C565" s="1096" t="s">
        <v>164</v>
      </c>
      <c r="D565" s="1097" t="s">
        <v>584</v>
      </c>
      <c r="E565" s="1079">
        <v>95000</v>
      </c>
      <c r="F565" s="1079">
        <v>115000</v>
      </c>
      <c r="G565" s="1079">
        <v>0</v>
      </c>
      <c r="H565" s="1080">
        <f t="shared" si="130"/>
        <v>0</v>
      </c>
    </row>
    <row r="566" spans="1:8" ht="17.100000000000001" customHeight="1">
      <c r="A566" s="1057"/>
      <c r="B566" s="1093"/>
      <c r="C566" s="1289" t="s">
        <v>585</v>
      </c>
      <c r="D566" s="1097" t="s">
        <v>586</v>
      </c>
      <c r="E566" s="1079">
        <v>0</v>
      </c>
      <c r="F566" s="1079">
        <v>9600</v>
      </c>
      <c r="G566" s="1079">
        <v>9370</v>
      </c>
      <c r="H566" s="1080">
        <f t="shared" si="130"/>
        <v>0.9760416666666667</v>
      </c>
    </row>
    <row r="567" spans="1:8" ht="17.100000000000001" customHeight="1">
      <c r="A567" s="1057"/>
      <c r="B567" s="1093"/>
      <c r="C567" s="1289" t="s">
        <v>589</v>
      </c>
      <c r="D567" s="1097" t="s">
        <v>590</v>
      </c>
      <c r="E567" s="1079">
        <v>5000000</v>
      </c>
      <c r="F567" s="1079">
        <v>4816000</v>
      </c>
      <c r="G567" s="1079">
        <v>4453652</v>
      </c>
      <c r="H567" s="1080">
        <f t="shared" si="130"/>
        <v>0.92476162790697669</v>
      </c>
    </row>
    <row r="568" spans="1:8" ht="17.100000000000001" customHeight="1">
      <c r="A568" s="1057"/>
      <c r="B568" s="1093"/>
      <c r="C568" s="1289" t="s">
        <v>599</v>
      </c>
      <c r="D568" s="1097" t="s">
        <v>600</v>
      </c>
      <c r="E568" s="1079">
        <v>0</v>
      </c>
      <c r="F568" s="1079">
        <v>184000</v>
      </c>
      <c r="G568" s="1079">
        <v>184000</v>
      </c>
      <c r="H568" s="1080">
        <f t="shared" si="130"/>
        <v>1</v>
      </c>
    </row>
    <row r="569" spans="1:8" ht="15.75" customHeight="1">
      <c r="A569" s="1057"/>
      <c r="B569" s="1093"/>
      <c r="C569" s="1096" t="s">
        <v>148</v>
      </c>
      <c r="D569" s="1097" t="s">
        <v>601</v>
      </c>
      <c r="E569" s="1079">
        <v>25822</v>
      </c>
      <c r="F569" s="1079">
        <v>25822</v>
      </c>
      <c r="G569" s="1079">
        <v>8600</v>
      </c>
      <c r="H569" s="1080">
        <f t="shared" si="130"/>
        <v>0.33304933777399115</v>
      </c>
    </row>
    <row r="570" spans="1:8" ht="15.75" customHeight="1">
      <c r="A570" s="1057"/>
      <c r="B570" s="1093"/>
      <c r="C570" s="1207"/>
      <c r="D570" s="1162"/>
      <c r="E570" s="1079"/>
      <c r="F570" s="1079"/>
      <c r="G570" s="1079"/>
      <c r="H570" s="1080"/>
    </row>
    <row r="571" spans="1:8" ht="15.75" customHeight="1">
      <c r="A571" s="1057"/>
      <c r="B571" s="1093"/>
      <c r="C571" s="2281" t="s">
        <v>605</v>
      </c>
      <c r="D571" s="2281"/>
      <c r="E571" s="1083">
        <f>SUM(E572)</f>
        <v>24063807</v>
      </c>
      <c r="F571" s="1083">
        <f t="shared" ref="F571:G571" si="134">SUM(F572)</f>
        <v>22312873</v>
      </c>
      <c r="G571" s="1083">
        <f t="shared" si="134"/>
        <v>256554</v>
      </c>
      <c r="H571" s="1084">
        <f t="shared" si="130"/>
        <v>1.1498026273891309E-2</v>
      </c>
    </row>
    <row r="572" spans="1:8" ht="15.75" customHeight="1">
      <c r="A572" s="1057"/>
      <c r="B572" s="1093"/>
      <c r="C572" s="2272" t="s">
        <v>606</v>
      </c>
      <c r="D572" s="2272"/>
      <c r="E572" s="1079">
        <f>SUM(E573:E578)</f>
        <v>24063807</v>
      </c>
      <c r="F572" s="1079">
        <f t="shared" ref="F572:G572" si="135">SUM(F573:F578)</f>
        <v>22312873</v>
      </c>
      <c r="G572" s="1079">
        <f t="shared" si="135"/>
        <v>256554</v>
      </c>
      <c r="H572" s="1080">
        <f t="shared" si="130"/>
        <v>1.1498026273891309E-2</v>
      </c>
    </row>
    <row r="573" spans="1:8" ht="15.75" customHeight="1">
      <c r="A573" s="1057"/>
      <c r="B573" s="1093"/>
      <c r="C573" s="1096" t="s">
        <v>26</v>
      </c>
      <c r="D573" s="1097" t="s">
        <v>607</v>
      </c>
      <c r="E573" s="1079">
        <f>137278-2000</f>
        <v>135278</v>
      </c>
      <c r="F573" s="1079">
        <v>135278</v>
      </c>
      <c r="G573" s="1079">
        <v>0</v>
      </c>
      <c r="H573" s="1080">
        <f t="shared" si="130"/>
        <v>0</v>
      </c>
    </row>
    <row r="574" spans="1:8" ht="15.75" customHeight="1">
      <c r="A574" s="1057"/>
      <c r="B574" s="1093"/>
      <c r="C574" s="1096" t="s">
        <v>695</v>
      </c>
      <c r="D574" s="1097" t="s">
        <v>607</v>
      </c>
      <c r="E574" s="1079">
        <f>11701330+2161035-9361982</f>
        <v>4500383</v>
      </c>
      <c r="F574" s="1079">
        <v>4329562</v>
      </c>
      <c r="G574" s="1079">
        <v>222088</v>
      </c>
      <c r="H574" s="1080">
        <f t="shared" si="130"/>
        <v>5.1295719982760384E-2</v>
      </c>
    </row>
    <row r="575" spans="1:8" ht="15.75" customHeight="1">
      <c r="A575" s="1057"/>
      <c r="B575" s="1093"/>
      <c r="C575" s="1096" t="s">
        <v>707</v>
      </c>
      <c r="D575" s="1097" t="s">
        <v>607</v>
      </c>
      <c r="E575" s="1079">
        <v>200439</v>
      </c>
      <c r="F575" s="1079">
        <v>0</v>
      </c>
      <c r="G575" s="1079">
        <v>0</v>
      </c>
      <c r="H575" s="1080"/>
    </row>
    <row r="576" spans="1:8" ht="18.75" customHeight="1">
      <c r="A576" s="1057"/>
      <c r="B576" s="1093"/>
      <c r="C576" s="1096" t="s">
        <v>98</v>
      </c>
      <c r="D576" s="1097" t="s">
        <v>607</v>
      </c>
      <c r="E576" s="1079">
        <f>1985894+381360-1603467</f>
        <v>763787</v>
      </c>
      <c r="F576" s="1079">
        <v>646382</v>
      </c>
      <c r="G576" s="1079">
        <v>122</v>
      </c>
      <c r="H576" s="1080">
        <f t="shared" si="130"/>
        <v>1.8874287959751355E-4</v>
      </c>
    </row>
    <row r="577" spans="1:8" ht="51">
      <c r="A577" s="1057"/>
      <c r="B577" s="1093"/>
      <c r="C577" s="1087" t="s">
        <v>732</v>
      </c>
      <c r="D577" s="1286" t="s">
        <v>680</v>
      </c>
      <c r="E577" s="1079">
        <f>31191753-12877833</f>
        <v>18313920</v>
      </c>
      <c r="F577" s="1079">
        <v>17201651</v>
      </c>
      <c r="G577" s="1079">
        <v>34344</v>
      </c>
      <c r="H577" s="1080">
        <f t="shared" si="130"/>
        <v>1.9965525402183778E-3</v>
      </c>
    </row>
    <row r="578" spans="1:8" ht="40.5" customHeight="1">
      <c r="A578" s="1057"/>
      <c r="B578" s="1093"/>
      <c r="C578" s="1096" t="s">
        <v>22</v>
      </c>
      <c r="D578" s="1097" t="s">
        <v>711</v>
      </c>
      <c r="E578" s="1079">
        <v>150000</v>
      </c>
      <c r="F578" s="1079">
        <v>0</v>
      </c>
      <c r="G578" s="1079">
        <v>0</v>
      </c>
      <c r="H578" s="1080"/>
    </row>
    <row r="579" spans="1:8" ht="15.75" customHeight="1">
      <c r="A579" s="1057"/>
      <c r="B579" s="1093"/>
      <c r="C579" s="2299"/>
      <c r="D579" s="2299"/>
      <c r="E579" s="1280"/>
      <c r="F579" s="1280"/>
      <c r="G579" s="1280"/>
      <c r="H579" s="1080"/>
    </row>
    <row r="580" spans="1:8" ht="15.75" customHeight="1">
      <c r="A580" s="1057"/>
      <c r="B580" s="1093"/>
      <c r="C580" s="2278" t="s">
        <v>614</v>
      </c>
      <c r="D580" s="2286"/>
      <c r="E580" s="1290">
        <f>SUM(E581:E585)</f>
        <v>23778529</v>
      </c>
      <c r="F580" s="1290">
        <f t="shared" ref="F580:G580" si="136">SUM(F581:F585)</f>
        <v>22177595</v>
      </c>
      <c r="G580" s="1290">
        <f t="shared" si="136"/>
        <v>256554</v>
      </c>
      <c r="H580" s="1080">
        <f t="shared" si="130"/>
        <v>1.1568161471070241E-2</v>
      </c>
    </row>
    <row r="581" spans="1:8" ht="15.75" hidden="1" customHeight="1">
      <c r="A581" s="1057"/>
      <c r="B581" s="1093"/>
      <c r="C581" s="1096" t="s">
        <v>26</v>
      </c>
      <c r="D581" s="1097" t="s">
        <v>607</v>
      </c>
      <c r="E581" s="1280">
        <f>2000-2000</f>
        <v>0</v>
      </c>
      <c r="F581" s="1280"/>
      <c r="G581" s="1280"/>
      <c r="H581" s="1080" t="e">
        <f t="shared" si="130"/>
        <v>#DIV/0!</v>
      </c>
    </row>
    <row r="582" spans="1:8" ht="15.75" customHeight="1">
      <c r="A582" s="1057"/>
      <c r="B582" s="1093"/>
      <c r="C582" s="1096" t="s">
        <v>695</v>
      </c>
      <c r="D582" s="1097" t="s">
        <v>607</v>
      </c>
      <c r="E582" s="1280">
        <f>11701330+2161035-9361982</f>
        <v>4500383</v>
      </c>
      <c r="F582" s="1280">
        <v>4329562</v>
      </c>
      <c r="G582" s="1280">
        <v>222088</v>
      </c>
      <c r="H582" s="1080">
        <f t="shared" si="130"/>
        <v>5.1295719982760384E-2</v>
      </c>
    </row>
    <row r="583" spans="1:8" ht="15.75" customHeight="1">
      <c r="A583" s="1057"/>
      <c r="B583" s="1093"/>
      <c r="C583" s="1096" t="s">
        <v>707</v>
      </c>
      <c r="D583" s="1097" t="s">
        <v>607</v>
      </c>
      <c r="E583" s="1280">
        <v>200439</v>
      </c>
      <c r="F583" s="1280">
        <v>0</v>
      </c>
      <c r="G583" s="1280">
        <v>0</v>
      </c>
      <c r="H583" s="1080"/>
    </row>
    <row r="584" spans="1:8" ht="15.75" customHeight="1">
      <c r="A584" s="1057"/>
      <c r="B584" s="1093"/>
      <c r="C584" s="1096" t="s">
        <v>98</v>
      </c>
      <c r="D584" s="1097" t="s">
        <v>607</v>
      </c>
      <c r="E584" s="1280">
        <f>1985894+381360-1603467</f>
        <v>763787</v>
      </c>
      <c r="F584" s="1280">
        <v>646382</v>
      </c>
      <c r="G584" s="1280">
        <v>122</v>
      </c>
      <c r="H584" s="1080">
        <f t="shared" si="130"/>
        <v>1.8874287959751355E-4</v>
      </c>
    </row>
    <row r="585" spans="1:8" ht="51.75" thickBot="1">
      <c r="A585" s="1057"/>
      <c r="B585" s="1093"/>
      <c r="C585" s="1087" t="s">
        <v>732</v>
      </c>
      <c r="D585" s="1286" t="s">
        <v>680</v>
      </c>
      <c r="E585" s="1291">
        <f>31191753-12877833</f>
        <v>18313920</v>
      </c>
      <c r="F585" s="1291">
        <v>17201651</v>
      </c>
      <c r="G585" s="1291">
        <v>34344</v>
      </c>
      <c r="H585" s="1080">
        <f t="shared" si="130"/>
        <v>1.9965525402183778E-3</v>
      </c>
    </row>
    <row r="586" spans="1:8" ht="17.100000000000001" customHeight="1" thickBot="1">
      <c r="A586" s="1051" t="s">
        <v>733</v>
      </c>
      <c r="B586" s="1052"/>
      <c r="C586" s="1053"/>
      <c r="D586" s="1054" t="s">
        <v>734</v>
      </c>
      <c r="E586" s="1055">
        <f>E587+E591</f>
        <v>1412366</v>
      </c>
      <c r="F586" s="1055">
        <f t="shared" ref="F586:G586" si="137">F587+F591</f>
        <v>1510075</v>
      </c>
      <c r="G586" s="1055">
        <f t="shared" si="137"/>
        <v>560718</v>
      </c>
      <c r="H586" s="1056">
        <f t="shared" si="130"/>
        <v>0.37131798089498869</v>
      </c>
    </row>
    <row r="587" spans="1:8" ht="17.100000000000001" customHeight="1" thickBot="1">
      <c r="A587" s="1292"/>
      <c r="B587" s="1144" t="s">
        <v>735</v>
      </c>
      <c r="C587" s="1145"/>
      <c r="D587" s="1146" t="s">
        <v>736</v>
      </c>
      <c r="E587" s="1147">
        <f>E588</f>
        <v>0</v>
      </c>
      <c r="F587" s="1147">
        <f t="shared" ref="F587:G587" si="138">F588</f>
        <v>50000</v>
      </c>
      <c r="G587" s="1147">
        <f t="shared" si="138"/>
        <v>49995</v>
      </c>
      <c r="H587" s="1148">
        <f t="shared" si="130"/>
        <v>0.99990000000000001</v>
      </c>
    </row>
    <row r="588" spans="1:8" ht="17.100000000000001" customHeight="1">
      <c r="A588" s="1292"/>
      <c r="B588" s="1293"/>
      <c r="C588" s="2112" t="s">
        <v>560</v>
      </c>
      <c r="D588" s="2112"/>
      <c r="E588" s="1294">
        <f>E589</f>
        <v>0</v>
      </c>
      <c r="F588" s="1294">
        <f>F589</f>
        <v>50000</v>
      </c>
      <c r="G588" s="1294">
        <f>G589</f>
        <v>49995</v>
      </c>
      <c r="H588" s="1295">
        <f t="shared" si="130"/>
        <v>0.99990000000000001</v>
      </c>
    </row>
    <row r="589" spans="1:8" ht="17.100000000000001" customHeight="1">
      <c r="A589" s="1292"/>
      <c r="B589" s="1296"/>
      <c r="C589" s="2300" t="s">
        <v>647</v>
      </c>
      <c r="D589" s="2300"/>
      <c r="E589" s="1257">
        <f>E590</f>
        <v>0</v>
      </c>
      <c r="F589" s="1257">
        <f t="shared" ref="F589:G589" si="139">F590</f>
        <v>50000</v>
      </c>
      <c r="G589" s="1257">
        <f t="shared" si="139"/>
        <v>49995</v>
      </c>
      <c r="H589" s="1258">
        <f t="shared" si="130"/>
        <v>0.99990000000000001</v>
      </c>
    </row>
    <row r="590" spans="1:8" ht="43.5" customHeight="1" thickBot="1">
      <c r="A590" s="1292"/>
      <c r="B590" s="1297"/>
      <c r="C590" s="1298" t="s">
        <v>125</v>
      </c>
      <c r="D590" s="1252" t="s">
        <v>716</v>
      </c>
      <c r="E590" s="1270">
        <v>0</v>
      </c>
      <c r="F590" s="1270">
        <v>50000</v>
      </c>
      <c r="G590" s="1270">
        <v>49995</v>
      </c>
      <c r="H590" s="1271">
        <f t="shared" si="130"/>
        <v>0.99990000000000001</v>
      </c>
    </row>
    <row r="591" spans="1:8" ht="17.100000000000001" customHeight="1" thickBot="1">
      <c r="A591" s="1299"/>
      <c r="B591" s="1144" t="s">
        <v>737</v>
      </c>
      <c r="C591" s="1145"/>
      <c r="D591" s="1146" t="s">
        <v>11</v>
      </c>
      <c r="E591" s="1147">
        <f>SUM(E592+E624)</f>
        <v>1412366</v>
      </c>
      <c r="F591" s="1147">
        <f t="shared" ref="F591:G591" si="140">SUM(F592+F624)</f>
        <v>1460075</v>
      </c>
      <c r="G591" s="1147">
        <f t="shared" si="140"/>
        <v>510723</v>
      </c>
      <c r="H591" s="1148">
        <f t="shared" si="130"/>
        <v>0.34979230518980187</v>
      </c>
    </row>
    <row r="592" spans="1:8" ht="17.100000000000001" customHeight="1">
      <c r="A592" s="1057"/>
      <c r="B592" s="2258"/>
      <c r="C592" s="2112" t="s">
        <v>560</v>
      </c>
      <c r="D592" s="2112"/>
      <c r="E592" s="1063">
        <f>E593</f>
        <v>1187103</v>
      </c>
      <c r="F592" s="1063">
        <f t="shared" ref="F592:G592" si="141">F593</f>
        <v>1234812</v>
      </c>
      <c r="G592" s="1063">
        <f t="shared" si="141"/>
        <v>403123</v>
      </c>
      <c r="H592" s="1064">
        <f t="shared" si="130"/>
        <v>0.32646508132412061</v>
      </c>
    </row>
    <row r="593" spans="1:8" ht="17.100000000000001" customHeight="1">
      <c r="A593" s="1057"/>
      <c r="B593" s="2258"/>
      <c r="C593" s="2276" t="s">
        <v>616</v>
      </c>
      <c r="D593" s="2276"/>
      <c r="E593" s="1079">
        <f>SUM(E594:E622)</f>
        <v>1187103</v>
      </c>
      <c r="F593" s="1079">
        <f t="shared" ref="F593:G593" si="142">SUM(F594:F622)</f>
        <v>1234812</v>
      </c>
      <c r="G593" s="1079">
        <f t="shared" si="142"/>
        <v>403123</v>
      </c>
      <c r="H593" s="1080">
        <f t="shared" si="130"/>
        <v>0.32646508132412061</v>
      </c>
    </row>
    <row r="594" spans="1:8" ht="39" customHeight="1">
      <c r="A594" s="1057"/>
      <c r="B594" s="1093"/>
      <c r="C594" s="1159" t="s">
        <v>362</v>
      </c>
      <c r="D594" s="1178" t="s">
        <v>666</v>
      </c>
      <c r="E594" s="1079">
        <v>0</v>
      </c>
      <c r="F594" s="1079">
        <v>15</v>
      </c>
      <c r="G594" s="1079">
        <v>15</v>
      </c>
      <c r="H594" s="1080">
        <f t="shared" si="130"/>
        <v>1</v>
      </c>
    </row>
    <row r="595" spans="1:8" ht="17.100000000000001" customHeight="1">
      <c r="A595" s="1057"/>
      <c r="B595" s="1093"/>
      <c r="C595" s="1157" t="s">
        <v>620</v>
      </c>
      <c r="D595" s="1097" t="s">
        <v>563</v>
      </c>
      <c r="E595" s="1079">
        <v>66620</v>
      </c>
      <c r="F595" s="1079">
        <v>87598</v>
      </c>
      <c r="G595" s="1079">
        <v>65195</v>
      </c>
      <c r="H595" s="1080">
        <f t="shared" si="130"/>
        <v>0.74425215187561355</v>
      </c>
    </row>
    <row r="596" spans="1:8" ht="17.100000000000001" customHeight="1">
      <c r="A596" s="1057"/>
      <c r="B596" s="1093"/>
      <c r="C596" s="1157" t="s">
        <v>621</v>
      </c>
      <c r="D596" s="1097" t="s">
        <v>563</v>
      </c>
      <c r="E596" s="1079">
        <v>11757</v>
      </c>
      <c r="F596" s="1079">
        <v>15459</v>
      </c>
      <c r="G596" s="1079">
        <v>11505</v>
      </c>
      <c r="H596" s="1080">
        <f t="shared" si="130"/>
        <v>0.74422666407917715</v>
      </c>
    </row>
    <row r="597" spans="1:8" ht="17.100000000000001" customHeight="1">
      <c r="A597" s="1057"/>
      <c r="B597" s="1093"/>
      <c r="C597" s="1157" t="s">
        <v>622</v>
      </c>
      <c r="D597" s="1097" t="s">
        <v>565</v>
      </c>
      <c r="E597" s="1079">
        <v>10428</v>
      </c>
      <c r="F597" s="1079">
        <v>10428</v>
      </c>
      <c r="G597" s="1079">
        <v>5677</v>
      </c>
      <c r="H597" s="1080">
        <f t="shared" si="130"/>
        <v>0.54439969313387038</v>
      </c>
    </row>
    <row r="598" spans="1:8" ht="17.100000000000001" customHeight="1">
      <c r="A598" s="1057"/>
      <c r="B598" s="1093"/>
      <c r="C598" s="1157" t="s">
        <v>623</v>
      </c>
      <c r="D598" s="1097" t="s">
        <v>565</v>
      </c>
      <c r="E598" s="1079">
        <v>1840</v>
      </c>
      <c r="F598" s="1079">
        <v>1840</v>
      </c>
      <c r="G598" s="1079">
        <v>1002</v>
      </c>
      <c r="H598" s="1080">
        <f t="shared" si="130"/>
        <v>0.54456521739130437</v>
      </c>
    </row>
    <row r="599" spans="1:8" ht="17.100000000000001" customHeight="1">
      <c r="A599" s="1057"/>
      <c r="B599" s="1093"/>
      <c r="C599" s="1157" t="s">
        <v>624</v>
      </c>
      <c r="D599" s="1097" t="s">
        <v>566</v>
      </c>
      <c r="E599" s="1079">
        <v>14049</v>
      </c>
      <c r="F599" s="1079">
        <v>17695</v>
      </c>
      <c r="G599" s="1079">
        <v>11990</v>
      </c>
      <c r="H599" s="1080">
        <f t="shared" si="130"/>
        <v>0.67759254026561178</v>
      </c>
    </row>
    <row r="600" spans="1:8" ht="17.100000000000001" customHeight="1">
      <c r="A600" s="1057"/>
      <c r="B600" s="1093"/>
      <c r="C600" s="1157" t="s">
        <v>625</v>
      </c>
      <c r="D600" s="1097" t="s">
        <v>566</v>
      </c>
      <c r="E600" s="1079">
        <v>2480</v>
      </c>
      <c r="F600" s="1079">
        <v>3124</v>
      </c>
      <c r="G600" s="1079">
        <v>2116</v>
      </c>
      <c r="H600" s="1080">
        <f t="shared" si="130"/>
        <v>0.67733674775928299</v>
      </c>
    </row>
    <row r="601" spans="1:8" ht="17.100000000000001" customHeight="1">
      <c r="A601" s="1057"/>
      <c r="B601" s="1093"/>
      <c r="C601" s="1157" t="s">
        <v>626</v>
      </c>
      <c r="D601" s="1097" t="s">
        <v>567</v>
      </c>
      <c r="E601" s="1079">
        <v>2292</v>
      </c>
      <c r="F601" s="1079">
        <v>2791</v>
      </c>
      <c r="G601" s="1079">
        <v>1580</v>
      </c>
      <c r="H601" s="1080">
        <f t="shared" si="130"/>
        <v>0.56610533858831957</v>
      </c>
    </row>
    <row r="602" spans="1:8" ht="17.100000000000001" customHeight="1">
      <c r="A602" s="1057"/>
      <c r="B602" s="1093"/>
      <c r="C602" s="1157" t="s">
        <v>627</v>
      </c>
      <c r="D602" s="1097" t="s">
        <v>567</v>
      </c>
      <c r="E602" s="1079">
        <v>404</v>
      </c>
      <c r="F602" s="1079">
        <v>492</v>
      </c>
      <c r="G602" s="1079">
        <v>279</v>
      </c>
      <c r="H602" s="1080">
        <f t="shared" si="130"/>
        <v>0.56707317073170727</v>
      </c>
    </row>
    <row r="603" spans="1:8" ht="17.100000000000001" customHeight="1">
      <c r="A603" s="1057"/>
      <c r="B603" s="1069"/>
      <c r="C603" s="1096" t="s">
        <v>738</v>
      </c>
      <c r="D603" s="1097" t="s">
        <v>569</v>
      </c>
      <c r="E603" s="1079">
        <v>200000</v>
      </c>
      <c r="F603" s="1079">
        <v>140000</v>
      </c>
      <c r="G603" s="1079">
        <v>1500</v>
      </c>
      <c r="H603" s="1080">
        <f t="shared" si="130"/>
        <v>1.0714285714285714E-2</v>
      </c>
    </row>
    <row r="604" spans="1:8" ht="17.100000000000001" customHeight="1">
      <c r="A604" s="1057"/>
      <c r="B604" s="1069"/>
      <c r="C604" s="1096" t="s">
        <v>628</v>
      </c>
      <c r="D604" s="1097" t="s">
        <v>569</v>
      </c>
      <c r="E604" s="1079">
        <v>4250</v>
      </c>
      <c r="F604" s="1079">
        <v>4250</v>
      </c>
      <c r="G604" s="1079">
        <v>0</v>
      </c>
      <c r="H604" s="1080">
        <f t="shared" si="130"/>
        <v>0</v>
      </c>
    </row>
    <row r="605" spans="1:8" ht="17.100000000000001" customHeight="1">
      <c r="A605" s="1057"/>
      <c r="B605" s="1069"/>
      <c r="C605" s="1096" t="s">
        <v>629</v>
      </c>
      <c r="D605" s="1097" t="s">
        <v>569</v>
      </c>
      <c r="E605" s="1079">
        <v>750</v>
      </c>
      <c r="F605" s="1079">
        <v>750</v>
      </c>
      <c r="G605" s="1079">
        <v>0</v>
      </c>
      <c r="H605" s="1080">
        <f t="shared" si="130"/>
        <v>0</v>
      </c>
    </row>
    <row r="606" spans="1:8" ht="17.100000000000001" customHeight="1">
      <c r="A606" s="1057"/>
      <c r="B606" s="1069"/>
      <c r="C606" s="1096" t="s">
        <v>671</v>
      </c>
      <c r="D606" s="1097" t="s">
        <v>573</v>
      </c>
      <c r="E606" s="1079">
        <v>20000</v>
      </c>
      <c r="F606" s="1079">
        <v>70000</v>
      </c>
      <c r="G606" s="1079">
        <v>30750</v>
      </c>
      <c r="H606" s="1080">
        <f t="shared" si="130"/>
        <v>0.43928571428571428</v>
      </c>
    </row>
    <row r="607" spans="1:8" ht="17.100000000000001" customHeight="1">
      <c r="A607" s="1057"/>
      <c r="B607" s="1069"/>
      <c r="C607" s="1096" t="s">
        <v>633</v>
      </c>
      <c r="D607" s="1097" t="s">
        <v>573</v>
      </c>
      <c r="E607" s="1079">
        <v>10398</v>
      </c>
      <c r="F607" s="1079">
        <v>10398</v>
      </c>
      <c r="G607" s="1079">
        <v>4806</v>
      </c>
      <c r="H607" s="1080">
        <f t="shared" si="130"/>
        <v>0.46220427005193304</v>
      </c>
    </row>
    <row r="608" spans="1:8" ht="17.100000000000001" customHeight="1">
      <c r="A608" s="1057"/>
      <c r="B608" s="1069"/>
      <c r="C608" s="1096" t="s">
        <v>634</v>
      </c>
      <c r="D608" s="1097" t="s">
        <v>573</v>
      </c>
      <c r="E608" s="1079">
        <v>1835</v>
      </c>
      <c r="F608" s="1079">
        <v>1835</v>
      </c>
      <c r="G608" s="1079">
        <v>848</v>
      </c>
      <c r="H608" s="1080">
        <f t="shared" si="130"/>
        <v>0.46212534059945504</v>
      </c>
    </row>
    <row r="609" spans="1:8" ht="17.100000000000001" customHeight="1">
      <c r="A609" s="1057"/>
      <c r="B609" s="1069"/>
      <c r="C609" s="1096" t="s">
        <v>672</v>
      </c>
      <c r="D609" s="1097" t="s">
        <v>581</v>
      </c>
      <c r="E609" s="1079">
        <v>360000</v>
      </c>
      <c r="F609" s="1079">
        <v>310000</v>
      </c>
      <c r="G609" s="1079">
        <v>163771</v>
      </c>
      <c r="H609" s="1080">
        <f t="shared" si="130"/>
        <v>0.52829354838709675</v>
      </c>
    </row>
    <row r="610" spans="1:8" ht="17.100000000000001" customHeight="1">
      <c r="A610" s="1057"/>
      <c r="B610" s="1069"/>
      <c r="C610" s="1096" t="s">
        <v>637</v>
      </c>
      <c r="D610" s="1097" t="s">
        <v>581</v>
      </c>
      <c r="E610" s="1079">
        <v>12750</v>
      </c>
      <c r="F610" s="1079">
        <v>16960</v>
      </c>
      <c r="G610" s="1079">
        <v>3450</v>
      </c>
      <c r="H610" s="1080">
        <f t="shared" si="130"/>
        <v>0.20341981132075471</v>
      </c>
    </row>
    <row r="611" spans="1:8" ht="17.100000000000001" customHeight="1">
      <c r="A611" s="1057"/>
      <c r="B611" s="1069"/>
      <c r="C611" s="1096" t="s">
        <v>638</v>
      </c>
      <c r="D611" s="1097" t="s">
        <v>581</v>
      </c>
      <c r="E611" s="1079">
        <v>2250</v>
      </c>
      <c r="F611" s="1079">
        <v>2993</v>
      </c>
      <c r="G611" s="1079">
        <v>609</v>
      </c>
      <c r="H611" s="1080">
        <f t="shared" si="130"/>
        <v>0.20347477447377213</v>
      </c>
    </row>
    <row r="612" spans="1:8" ht="16.5" customHeight="1">
      <c r="A612" s="1057"/>
      <c r="B612" s="1069"/>
      <c r="C612" s="1096" t="s">
        <v>739</v>
      </c>
      <c r="D612" s="1097" t="s">
        <v>740</v>
      </c>
      <c r="E612" s="1079">
        <v>100000</v>
      </c>
      <c r="F612" s="1079">
        <v>100000</v>
      </c>
      <c r="G612" s="1079">
        <v>0</v>
      </c>
      <c r="H612" s="1080">
        <f t="shared" si="130"/>
        <v>0</v>
      </c>
    </row>
    <row r="613" spans="1:8" ht="16.5" customHeight="1">
      <c r="A613" s="1057"/>
      <c r="B613" s="1069"/>
      <c r="C613" s="1096" t="s">
        <v>741</v>
      </c>
      <c r="D613" s="1097" t="s">
        <v>740</v>
      </c>
      <c r="E613" s="1079">
        <v>4250</v>
      </c>
      <c r="F613" s="1079">
        <v>8832</v>
      </c>
      <c r="G613" s="1079">
        <v>4582</v>
      </c>
      <c r="H613" s="1080">
        <f t="shared" si="130"/>
        <v>0.51879528985507251</v>
      </c>
    </row>
    <row r="614" spans="1:8" ht="16.5" customHeight="1">
      <c r="A614" s="1057"/>
      <c r="B614" s="1069"/>
      <c r="C614" s="1096" t="s">
        <v>742</v>
      </c>
      <c r="D614" s="1097" t="s">
        <v>740</v>
      </c>
      <c r="E614" s="1079">
        <v>750</v>
      </c>
      <c r="F614" s="1079">
        <v>1559</v>
      </c>
      <c r="G614" s="1079">
        <v>809</v>
      </c>
      <c r="H614" s="1080">
        <f t="shared" si="130"/>
        <v>0.51892238614496478</v>
      </c>
    </row>
    <row r="615" spans="1:8" ht="16.5" customHeight="1">
      <c r="A615" s="1057"/>
      <c r="B615" s="1069"/>
      <c r="C615" s="1096" t="s">
        <v>743</v>
      </c>
      <c r="D615" s="1097" t="s">
        <v>584</v>
      </c>
      <c r="E615" s="1079">
        <v>0</v>
      </c>
      <c r="F615" s="1079">
        <v>60000</v>
      </c>
      <c r="G615" s="1079">
        <v>0</v>
      </c>
      <c r="H615" s="1080">
        <f t="shared" si="130"/>
        <v>0</v>
      </c>
    </row>
    <row r="616" spans="1:8" ht="16.5" customHeight="1">
      <c r="A616" s="1057"/>
      <c r="B616" s="1069"/>
      <c r="C616" s="1096" t="s">
        <v>639</v>
      </c>
      <c r="D616" s="1097" t="s">
        <v>584</v>
      </c>
      <c r="E616" s="1079">
        <v>4250</v>
      </c>
      <c r="F616" s="1079">
        <v>4250</v>
      </c>
      <c r="G616" s="1079">
        <v>0</v>
      </c>
      <c r="H616" s="1080">
        <f t="shared" si="130"/>
        <v>0</v>
      </c>
    </row>
    <row r="617" spans="1:8" ht="16.5" customHeight="1">
      <c r="A617" s="1057"/>
      <c r="B617" s="1069"/>
      <c r="C617" s="1096" t="s">
        <v>640</v>
      </c>
      <c r="D617" s="1097" t="s">
        <v>584</v>
      </c>
      <c r="E617" s="1079">
        <v>750</v>
      </c>
      <c r="F617" s="1079">
        <v>750</v>
      </c>
      <c r="G617" s="1079">
        <v>0</v>
      </c>
      <c r="H617" s="1080">
        <f t="shared" si="130"/>
        <v>0</v>
      </c>
    </row>
    <row r="618" spans="1:8" ht="17.100000000000001" customHeight="1">
      <c r="A618" s="1057"/>
      <c r="B618" s="1069"/>
      <c r="C618" s="1096" t="s">
        <v>673</v>
      </c>
      <c r="D618" s="1097" t="s">
        <v>588</v>
      </c>
      <c r="E618" s="1079">
        <v>50000</v>
      </c>
      <c r="F618" s="1079">
        <v>50000</v>
      </c>
      <c r="G618" s="1079">
        <v>1255</v>
      </c>
      <c r="H618" s="1080">
        <f t="shared" si="130"/>
        <v>2.5100000000000001E-2</v>
      </c>
    </row>
    <row r="619" spans="1:8" ht="17.100000000000001" customHeight="1">
      <c r="A619" s="1057"/>
      <c r="B619" s="1069"/>
      <c r="C619" s="1087" t="s">
        <v>744</v>
      </c>
      <c r="D619" s="1088" t="s">
        <v>702</v>
      </c>
      <c r="E619" s="1079">
        <v>200000</v>
      </c>
      <c r="F619" s="1079">
        <v>200000</v>
      </c>
      <c r="G619" s="1079">
        <v>71476</v>
      </c>
      <c r="H619" s="1080">
        <f t="shared" ref="H619:H683" si="143">G619/F619</f>
        <v>0.35737999999999998</v>
      </c>
    </row>
    <row r="620" spans="1:8" ht="17.100000000000001" customHeight="1">
      <c r="A620" s="1057"/>
      <c r="B620" s="1069"/>
      <c r="C620" s="1096" t="s">
        <v>745</v>
      </c>
      <c r="D620" s="1088" t="s">
        <v>702</v>
      </c>
      <c r="E620" s="1079">
        <v>21250</v>
      </c>
      <c r="F620" s="1079">
        <v>27874</v>
      </c>
      <c r="G620" s="1079">
        <v>16922</v>
      </c>
      <c r="H620" s="1080">
        <f t="shared" si="143"/>
        <v>0.60708904355313198</v>
      </c>
    </row>
    <row r="621" spans="1:8" ht="17.100000000000001" customHeight="1">
      <c r="A621" s="1057"/>
      <c r="B621" s="1069"/>
      <c r="C621" s="1096" t="s">
        <v>746</v>
      </c>
      <c r="D621" s="1088" t="s">
        <v>702</v>
      </c>
      <c r="E621" s="1079">
        <v>3750</v>
      </c>
      <c r="F621" s="1079">
        <v>4919</v>
      </c>
      <c r="G621" s="1079">
        <v>2986</v>
      </c>
      <c r="H621" s="1080">
        <f t="shared" si="143"/>
        <v>0.60703394998983529</v>
      </c>
    </row>
    <row r="622" spans="1:8" ht="17.100000000000001" customHeight="1">
      <c r="A622" s="1057"/>
      <c r="B622" s="1069"/>
      <c r="C622" s="1077" t="s">
        <v>674</v>
      </c>
      <c r="D622" s="1151" t="s">
        <v>601</v>
      </c>
      <c r="E622" s="1079">
        <v>80000</v>
      </c>
      <c r="F622" s="1079">
        <v>80000</v>
      </c>
      <c r="G622" s="1079">
        <v>0</v>
      </c>
      <c r="H622" s="1080">
        <f t="shared" si="143"/>
        <v>0</v>
      </c>
    </row>
    <row r="623" spans="1:8" ht="17.100000000000001" customHeight="1">
      <c r="A623" s="1057"/>
      <c r="B623" s="1069"/>
      <c r="C623" s="2293"/>
      <c r="D623" s="2294"/>
      <c r="E623" s="1079"/>
      <c r="F623" s="1079"/>
      <c r="G623" s="1079"/>
      <c r="H623" s="1080"/>
    </row>
    <row r="624" spans="1:8" ht="17.100000000000001" customHeight="1">
      <c r="A624" s="1057"/>
      <c r="B624" s="1069"/>
      <c r="C624" s="2295" t="s">
        <v>605</v>
      </c>
      <c r="D624" s="2296"/>
      <c r="E624" s="1300">
        <f>E625</f>
        <v>225263</v>
      </c>
      <c r="F624" s="1300">
        <f t="shared" ref="F624:G624" si="144">F625</f>
        <v>225263</v>
      </c>
      <c r="G624" s="1300">
        <f t="shared" si="144"/>
        <v>107600</v>
      </c>
      <c r="H624" s="1301">
        <f t="shared" si="143"/>
        <v>0.47766388621300437</v>
      </c>
    </row>
    <row r="625" spans="1:8" ht="17.100000000000001" customHeight="1">
      <c r="A625" s="1057"/>
      <c r="B625" s="1069"/>
      <c r="C625" s="2297" t="s">
        <v>606</v>
      </c>
      <c r="D625" s="2298"/>
      <c r="E625" s="1302">
        <f>SUM(E626)</f>
        <v>225263</v>
      </c>
      <c r="F625" s="1302">
        <f t="shared" ref="F625:G625" si="145">SUM(F626)</f>
        <v>225263</v>
      </c>
      <c r="G625" s="1302">
        <f t="shared" si="145"/>
        <v>107600</v>
      </c>
      <c r="H625" s="1303">
        <f t="shared" si="143"/>
        <v>0.47766388621300437</v>
      </c>
    </row>
    <row r="626" spans="1:8" ht="17.100000000000001" customHeight="1">
      <c r="A626" s="1057"/>
      <c r="B626" s="1069"/>
      <c r="C626" s="1304" t="s">
        <v>695</v>
      </c>
      <c r="D626" s="1305" t="s">
        <v>607</v>
      </c>
      <c r="E626" s="1302">
        <v>225263</v>
      </c>
      <c r="F626" s="1302">
        <v>225263</v>
      </c>
      <c r="G626" s="1302">
        <v>107600</v>
      </c>
      <c r="H626" s="1303">
        <f t="shared" si="143"/>
        <v>0.47766388621300437</v>
      </c>
    </row>
    <row r="627" spans="1:8" ht="17.100000000000001" customHeight="1">
      <c r="A627" s="1057"/>
      <c r="B627" s="1069"/>
      <c r="C627" s="1306"/>
      <c r="D627" s="1267"/>
      <c r="E627" s="1307"/>
      <c r="F627" s="1307"/>
      <c r="G627" s="1307"/>
      <c r="H627" s="1303"/>
    </row>
    <row r="628" spans="1:8" ht="17.100000000000001" customHeight="1">
      <c r="A628" s="1057"/>
      <c r="B628" s="1069"/>
      <c r="C628" s="2278" t="s">
        <v>614</v>
      </c>
      <c r="D628" s="2286"/>
      <c r="E628" s="1079">
        <f>E629</f>
        <v>225263</v>
      </c>
      <c r="F628" s="1079">
        <f>F629</f>
        <v>225263</v>
      </c>
      <c r="G628" s="1079">
        <f>G629</f>
        <v>107600</v>
      </c>
      <c r="H628" s="1303">
        <f t="shared" si="143"/>
        <v>0.47766388621300437</v>
      </c>
    </row>
    <row r="629" spans="1:8" ht="17.100000000000001" customHeight="1" thickBot="1">
      <c r="A629" s="1057"/>
      <c r="B629" s="1069"/>
      <c r="C629" s="1096" t="s">
        <v>695</v>
      </c>
      <c r="D629" s="1097" t="s">
        <v>607</v>
      </c>
      <c r="E629" s="1079">
        <v>225263</v>
      </c>
      <c r="F629" s="1079">
        <v>225263</v>
      </c>
      <c r="G629" s="1079">
        <v>107600</v>
      </c>
      <c r="H629" s="1303">
        <f t="shared" si="143"/>
        <v>0.47766388621300437</v>
      </c>
    </row>
    <row r="630" spans="1:8" ht="17.100000000000001" customHeight="1" thickBot="1">
      <c r="A630" s="1051" t="s">
        <v>7</v>
      </c>
      <c r="B630" s="1052"/>
      <c r="C630" s="1053"/>
      <c r="D630" s="1054" t="s">
        <v>747</v>
      </c>
      <c r="E630" s="1055">
        <f>SUM(E631,E643,E662,E753,E764,E844,E861,E828)</f>
        <v>154012755</v>
      </c>
      <c r="F630" s="1055">
        <f>SUM(F631,F643,F662,F753,F764,F844,F861,F828)</f>
        <v>158817819</v>
      </c>
      <c r="G630" s="1055">
        <f>SUM(G631,G643,G662,G753,G764,G844,G861,G828)</f>
        <v>139147622</v>
      </c>
      <c r="H630" s="1056">
        <f t="shared" si="143"/>
        <v>0.87614615838541388</v>
      </c>
    </row>
    <row r="631" spans="1:8" ht="17.100000000000001" customHeight="1" thickBot="1">
      <c r="A631" s="1057"/>
      <c r="B631" s="1144" t="s">
        <v>748</v>
      </c>
      <c r="C631" s="1145"/>
      <c r="D631" s="1146" t="s">
        <v>374</v>
      </c>
      <c r="E631" s="1147">
        <f t="shared" ref="E631:G632" si="146">E632</f>
        <v>1129275</v>
      </c>
      <c r="F631" s="1147">
        <f t="shared" si="146"/>
        <v>1305375</v>
      </c>
      <c r="G631" s="1147">
        <f t="shared" si="146"/>
        <v>1273056</v>
      </c>
      <c r="H631" s="1148">
        <f t="shared" si="143"/>
        <v>0.97524159724217174</v>
      </c>
    </row>
    <row r="632" spans="1:8" ht="17.100000000000001" customHeight="1">
      <c r="A632" s="1057"/>
      <c r="B632" s="2258"/>
      <c r="C632" s="2112" t="s">
        <v>560</v>
      </c>
      <c r="D632" s="2112"/>
      <c r="E632" s="1063">
        <f t="shared" si="146"/>
        <v>1129275</v>
      </c>
      <c r="F632" s="1063">
        <f t="shared" si="146"/>
        <v>1305375</v>
      </c>
      <c r="G632" s="1063">
        <f t="shared" si="146"/>
        <v>1273056</v>
      </c>
      <c r="H632" s="1064">
        <f t="shared" si="143"/>
        <v>0.97524159724217174</v>
      </c>
    </row>
    <row r="633" spans="1:8" ht="17.100000000000001" customHeight="1">
      <c r="A633" s="1057"/>
      <c r="B633" s="2258"/>
      <c r="C633" s="2276" t="s">
        <v>561</v>
      </c>
      <c r="D633" s="2276"/>
      <c r="E633" s="1079">
        <f>E634+E641</f>
        <v>1129275</v>
      </c>
      <c r="F633" s="1079">
        <f t="shared" ref="F633:G633" si="147">F634+F641</f>
        <v>1305375</v>
      </c>
      <c r="G633" s="1079">
        <f t="shared" si="147"/>
        <v>1273056</v>
      </c>
      <c r="H633" s="1080">
        <f t="shared" si="143"/>
        <v>0.97524159724217174</v>
      </c>
    </row>
    <row r="634" spans="1:8" ht="17.100000000000001" customHeight="1">
      <c r="A634" s="1057"/>
      <c r="B634" s="2258"/>
      <c r="C634" s="2277" t="s">
        <v>562</v>
      </c>
      <c r="D634" s="2277"/>
      <c r="E634" s="1115">
        <f>SUM(E635:E639)</f>
        <v>1107812</v>
      </c>
      <c r="F634" s="1115">
        <f t="shared" ref="F634:G634" si="148">SUM(F635:F639)</f>
        <v>1278912</v>
      </c>
      <c r="G634" s="1115">
        <f t="shared" si="148"/>
        <v>1248097</v>
      </c>
      <c r="H634" s="1116">
        <f t="shared" si="143"/>
        <v>0.9759053007556423</v>
      </c>
    </row>
    <row r="635" spans="1:8" ht="17.100000000000001" customHeight="1">
      <c r="A635" s="1057"/>
      <c r="B635" s="2258"/>
      <c r="C635" s="1096" t="s">
        <v>145</v>
      </c>
      <c r="D635" s="1097" t="s">
        <v>563</v>
      </c>
      <c r="E635" s="1079">
        <v>860790</v>
      </c>
      <c r="F635" s="1079">
        <v>1000290</v>
      </c>
      <c r="G635" s="1079">
        <v>980833</v>
      </c>
      <c r="H635" s="1080">
        <f t="shared" si="143"/>
        <v>0.98054864089414073</v>
      </c>
    </row>
    <row r="636" spans="1:8" ht="17.100000000000001" customHeight="1">
      <c r="A636" s="1057"/>
      <c r="B636" s="2258"/>
      <c r="C636" s="1096" t="s">
        <v>564</v>
      </c>
      <c r="D636" s="1097" t="s">
        <v>565</v>
      </c>
      <c r="E636" s="1079">
        <v>61192</v>
      </c>
      <c r="F636" s="1079">
        <v>68292</v>
      </c>
      <c r="G636" s="1079">
        <v>68032</v>
      </c>
      <c r="H636" s="1080">
        <f t="shared" si="143"/>
        <v>0.99619281907104784</v>
      </c>
    </row>
    <row r="637" spans="1:8" ht="17.100000000000001" customHeight="1">
      <c r="A637" s="1057"/>
      <c r="B637" s="1069"/>
      <c r="C637" s="1096" t="s">
        <v>146</v>
      </c>
      <c r="D637" s="1097" t="s">
        <v>566</v>
      </c>
      <c r="E637" s="1079">
        <v>182830</v>
      </c>
      <c r="F637" s="1079">
        <v>184830</v>
      </c>
      <c r="G637" s="1079">
        <v>179410</v>
      </c>
      <c r="H637" s="1080">
        <f t="shared" si="143"/>
        <v>0.97067575610020018</v>
      </c>
    </row>
    <row r="638" spans="1:8" ht="17.100000000000001" customHeight="1">
      <c r="A638" s="1057"/>
      <c r="B638" s="1069"/>
      <c r="C638" s="1096" t="s">
        <v>147</v>
      </c>
      <c r="D638" s="1097" t="s">
        <v>567</v>
      </c>
      <c r="E638" s="1079">
        <v>0</v>
      </c>
      <c r="F638" s="1079">
        <v>22500</v>
      </c>
      <c r="G638" s="1079">
        <v>19822</v>
      </c>
      <c r="H638" s="1080">
        <f t="shared" si="143"/>
        <v>0.88097777777777775</v>
      </c>
    </row>
    <row r="639" spans="1:8" ht="17.25" customHeight="1">
      <c r="A639" s="1057"/>
      <c r="B639" s="1069"/>
      <c r="C639" s="1096" t="s">
        <v>568</v>
      </c>
      <c r="D639" s="1097" t="s">
        <v>569</v>
      </c>
      <c r="E639" s="1079">
        <v>3000</v>
      </c>
      <c r="F639" s="1079">
        <v>3000</v>
      </c>
      <c r="G639" s="1079">
        <v>0</v>
      </c>
      <c r="H639" s="1080">
        <f t="shared" si="143"/>
        <v>0</v>
      </c>
    </row>
    <row r="640" spans="1:8" ht="17.100000000000001" customHeight="1">
      <c r="A640" s="1057"/>
      <c r="B640" s="1069"/>
      <c r="C640" s="1098"/>
      <c r="D640" s="1098"/>
      <c r="E640" s="1075"/>
      <c r="F640" s="1075"/>
      <c r="G640" s="1075"/>
      <c r="H640" s="1076"/>
    </row>
    <row r="641" spans="1:8" ht="17.100000000000001" customHeight="1">
      <c r="A641" s="1057"/>
      <c r="B641" s="1069"/>
      <c r="C641" s="2278" t="s">
        <v>570</v>
      </c>
      <c r="D641" s="2278"/>
      <c r="E641" s="1115">
        <f>SUM(E642:E642)</f>
        <v>21463</v>
      </c>
      <c r="F641" s="1115">
        <f t="shared" ref="F641:G641" si="149">SUM(F642:F642)</f>
        <v>26463</v>
      </c>
      <c r="G641" s="1115">
        <f t="shared" si="149"/>
        <v>24959</v>
      </c>
      <c r="H641" s="1116">
        <f t="shared" si="143"/>
        <v>0.94316592978876168</v>
      </c>
    </row>
    <row r="642" spans="1:8" ht="17.100000000000001" customHeight="1" thickBot="1">
      <c r="A642" s="1057"/>
      <c r="B642" s="1069"/>
      <c r="C642" s="1096" t="s">
        <v>571</v>
      </c>
      <c r="D642" s="1097" t="s">
        <v>572</v>
      </c>
      <c r="E642" s="1079">
        <v>21463</v>
      </c>
      <c r="F642" s="1079">
        <v>26463</v>
      </c>
      <c r="G642" s="1079">
        <v>24959</v>
      </c>
      <c r="H642" s="1080">
        <f t="shared" si="143"/>
        <v>0.94316592978876168</v>
      </c>
    </row>
    <row r="643" spans="1:8" ht="17.100000000000001" customHeight="1" thickBot="1">
      <c r="A643" s="1057"/>
      <c r="B643" s="1144" t="s">
        <v>749</v>
      </c>
      <c r="C643" s="1145"/>
      <c r="D643" s="1146" t="s">
        <v>376</v>
      </c>
      <c r="E643" s="1147">
        <f>E644+E659</f>
        <v>1210000</v>
      </c>
      <c r="F643" s="1147">
        <f t="shared" ref="F643:G643" si="150">F644+F659</f>
        <v>1181500</v>
      </c>
      <c r="G643" s="1147">
        <f t="shared" si="150"/>
        <v>1024594</v>
      </c>
      <c r="H643" s="1148">
        <f t="shared" si="143"/>
        <v>0.86719763013118911</v>
      </c>
    </row>
    <row r="644" spans="1:8" ht="17.100000000000001" customHeight="1">
      <c r="A644" s="1057"/>
      <c r="B644" s="1069"/>
      <c r="C644" s="2112" t="s">
        <v>560</v>
      </c>
      <c r="D644" s="2112"/>
      <c r="E644" s="1063">
        <f t="shared" ref="E644:G644" si="151">E645+E656</f>
        <v>1070000</v>
      </c>
      <c r="F644" s="1063">
        <f t="shared" si="151"/>
        <v>1181500</v>
      </c>
      <c r="G644" s="1063">
        <f t="shared" si="151"/>
        <v>1024594</v>
      </c>
      <c r="H644" s="1064">
        <f t="shared" si="143"/>
        <v>0.86719763013118911</v>
      </c>
    </row>
    <row r="645" spans="1:8" ht="17.100000000000001" customHeight="1">
      <c r="A645" s="1057"/>
      <c r="B645" s="1069"/>
      <c r="C645" s="2276" t="s">
        <v>561</v>
      </c>
      <c r="D645" s="2276"/>
      <c r="E645" s="1079">
        <f t="shared" ref="E645:G645" si="152">E646+E649</f>
        <v>170000</v>
      </c>
      <c r="F645" s="1079">
        <f t="shared" si="152"/>
        <v>301500</v>
      </c>
      <c r="G645" s="1079">
        <f t="shared" si="152"/>
        <v>229379</v>
      </c>
      <c r="H645" s="1080">
        <f t="shared" si="143"/>
        <v>0.76079270315091208</v>
      </c>
    </row>
    <row r="646" spans="1:8" ht="17.100000000000001" customHeight="1">
      <c r="A646" s="1057"/>
      <c r="B646" s="1069"/>
      <c r="C646" s="2277" t="s">
        <v>562</v>
      </c>
      <c r="D646" s="2277"/>
      <c r="E646" s="1115">
        <f t="shared" ref="E646:G646" si="153">E647</f>
        <v>5000</v>
      </c>
      <c r="F646" s="1115">
        <f t="shared" si="153"/>
        <v>0</v>
      </c>
      <c r="G646" s="1115">
        <f t="shared" si="153"/>
        <v>0</v>
      </c>
      <c r="H646" s="1116"/>
    </row>
    <row r="647" spans="1:8" ht="17.100000000000001" customHeight="1">
      <c r="A647" s="1057"/>
      <c r="B647" s="1069"/>
      <c r="C647" s="1096" t="s">
        <v>568</v>
      </c>
      <c r="D647" s="1097" t="s">
        <v>569</v>
      </c>
      <c r="E647" s="1079">
        <v>5000</v>
      </c>
      <c r="F647" s="1079">
        <v>0</v>
      </c>
      <c r="G647" s="1079">
        <v>0</v>
      </c>
      <c r="H647" s="1080"/>
    </row>
    <row r="648" spans="1:8" ht="17.100000000000001" customHeight="1">
      <c r="A648" s="1057"/>
      <c r="B648" s="1069"/>
      <c r="C648" s="1098"/>
      <c r="D648" s="1098"/>
      <c r="E648" s="1075"/>
      <c r="F648" s="1075"/>
      <c r="G648" s="1075"/>
      <c r="H648" s="1076"/>
    </row>
    <row r="649" spans="1:8" ht="17.100000000000001" customHeight="1">
      <c r="A649" s="1057"/>
      <c r="B649" s="1069"/>
      <c r="C649" s="2278" t="s">
        <v>570</v>
      </c>
      <c r="D649" s="2278"/>
      <c r="E649" s="1115">
        <f>SUM(E650:E654)</f>
        <v>165000</v>
      </c>
      <c r="F649" s="1115">
        <f t="shared" ref="F649:G649" si="154">SUM(F650:F654)</f>
        <v>301500</v>
      </c>
      <c r="G649" s="1115">
        <f t="shared" si="154"/>
        <v>229379</v>
      </c>
      <c r="H649" s="1116">
        <f t="shared" si="143"/>
        <v>0.76079270315091208</v>
      </c>
    </row>
    <row r="650" spans="1:8" ht="17.100000000000001" customHeight="1">
      <c r="A650" s="1057"/>
      <c r="B650" s="1069"/>
      <c r="C650" s="1096" t="s">
        <v>143</v>
      </c>
      <c r="D650" s="1097" t="s">
        <v>573</v>
      </c>
      <c r="E650" s="1079">
        <v>40000</v>
      </c>
      <c r="F650" s="1079">
        <v>225500</v>
      </c>
      <c r="G650" s="1079">
        <v>187426</v>
      </c>
      <c r="H650" s="1080">
        <f t="shared" si="143"/>
        <v>0.83115742793791569</v>
      </c>
    </row>
    <row r="651" spans="1:8" ht="17.100000000000001" customHeight="1">
      <c r="A651" s="1057"/>
      <c r="B651" s="1069"/>
      <c r="C651" s="1096" t="s">
        <v>574</v>
      </c>
      <c r="D651" s="1097" t="s">
        <v>575</v>
      </c>
      <c r="E651" s="1079">
        <v>10000</v>
      </c>
      <c r="F651" s="1079">
        <v>19438</v>
      </c>
      <c r="G651" s="1079">
        <v>11351</v>
      </c>
      <c r="H651" s="1080">
        <f t="shared" si="143"/>
        <v>0.58395925506739377</v>
      </c>
    </row>
    <row r="652" spans="1:8" ht="17.100000000000001" customHeight="1">
      <c r="A652" s="1057"/>
      <c r="B652" s="1069"/>
      <c r="C652" s="1096" t="s">
        <v>25</v>
      </c>
      <c r="D652" s="1097" t="s">
        <v>581</v>
      </c>
      <c r="E652" s="1079">
        <v>110000</v>
      </c>
      <c r="F652" s="1079">
        <v>52405</v>
      </c>
      <c r="G652" s="1079">
        <v>27743</v>
      </c>
      <c r="H652" s="1080">
        <f t="shared" si="143"/>
        <v>0.52939604999522949</v>
      </c>
    </row>
    <row r="653" spans="1:8" ht="17.100000000000001" customHeight="1">
      <c r="A653" s="1057"/>
      <c r="B653" s="1069"/>
      <c r="C653" s="1087" t="s">
        <v>582</v>
      </c>
      <c r="D653" s="1088" t="s">
        <v>583</v>
      </c>
      <c r="E653" s="1079">
        <v>5000</v>
      </c>
      <c r="F653" s="1079">
        <v>3000</v>
      </c>
      <c r="G653" s="1079">
        <v>1702</v>
      </c>
      <c r="H653" s="1080">
        <f t="shared" si="143"/>
        <v>0.56733333333333336</v>
      </c>
    </row>
    <row r="654" spans="1:8" ht="17.100000000000001" customHeight="1">
      <c r="A654" s="1057"/>
      <c r="B654" s="1069"/>
      <c r="C654" s="1134" t="s">
        <v>608</v>
      </c>
      <c r="D654" s="1212" t="s">
        <v>609</v>
      </c>
      <c r="E654" s="1103">
        <v>0</v>
      </c>
      <c r="F654" s="1103">
        <v>1157</v>
      </c>
      <c r="G654" s="1103">
        <v>1157</v>
      </c>
      <c r="H654" s="1104">
        <f t="shared" si="143"/>
        <v>1</v>
      </c>
    </row>
    <row r="655" spans="1:8" ht="17.100000000000001" customHeight="1">
      <c r="A655" s="1057"/>
      <c r="B655" s="1069"/>
      <c r="C655" s="1213"/>
      <c r="D655" s="1214"/>
      <c r="E655" s="1215"/>
      <c r="F655" s="1215"/>
      <c r="G655" s="1215"/>
      <c r="H655" s="1216"/>
    </row>
    <row r="656" spans="1:8" ht="17.100000000000001" customHeight="1">
      <c r="A656" s="1057"/>
      <c r="B656" s="1069"/>
      <c r="C656" s="2171" t="s">
        <v>602</v>
      </c>
      <c r="D656" s="2171"/>
      <c r="E656" s="1103">
        <f t="shared" ref="E656:G656" si="155">E657</f>
        <v>900000</v>
      </c>
      <c r="F656" s="1103">
        <f t="shared" si="155"/>
        <v>880000</v>
      </c>
      <c r="G656" s="1103">
        <f t="shared" si="155"/>
        <v>795215</v>
      </c>
      <c r="H656" s="1104">
        <f t="shared" si="143"/>
        <v>0.90365340909090908</v>
      </c>
    </row>
    <row r="657" spans="1:8" ht="17.100000000000001" customHeight="1">
      <c r="A657" s="1057"/>
      <c r="B657" s="1069"/>
      <c r="C657" s="1087" t="s">
        <v>750</v>
      </c>
      <c r="D657" s="1088" t="s">
        <v>751</v>
      </c>
      <c r="E657" s="1185">
        <v>900000</v>
      </c>
      <c r="F657" s="1185">
        <v>880000</v>
      </c>
      <c r="G657" s="1185">
        <v>795215</v>
      </c>
      <c r="H657" s="1186">
        <f t="shared" si="143"/>
        <v>0.90365340909090908</v>
      </c>
    </row>
    <row r="658" spans="1:8" ht="17.100000000000001" customHeight="1">
      <c r="A658" s="1057"/>
      <c r="B658" s="1069"/>
      <c r="C658" s="2293"/>
      <c r="D658" s="2294"/>
      <c r="E658" s="1185"/>
      <c r="F658" s="1185"/>
      <c r="G658" s="1185"/>
      <c r="H658" s="1186"/>
    </row>
    <row r="659" spans="1:8" ht="17.100000000000001" customHeight="1">
      <c r="A659" s="1057"/>
      <c r="B659" s="1069"/>
      <c r="C659" s="2295" t="s">
        <v>605</v>
      </c>
      <c r="D659" s="2296"/>
      <c r="E659" s="1300">
        <f>E660</f>
        <v>140000</v>
      </c>
      <c r="F659" s="1300">
        <f t="shared" ref="F659:G659" si="156">F660</f>
        <v>0</v>
      </c>
      <c r="G659" s="1300">
        <f t="shared" si="156"/>
        <v>0</v>
      </c>
      <c r="H659" s="1301"/>
    </row>
    <row r="660" spans="1:8" ht="17.100000000000001" customHeight="1">
      <c r="A660" s="1057"/>
      <c r="B660" s="1069"/>
      <c r="C660" s="2297" t="s">
        <v>606</v>
      </c>
      <c r="D660" s="2298"/>
      <c r="E660" s="1302">
        <f>SUM(E661)</f>
        <v>140000</v>
      </c>
      <c r="F660" s="1302">
        <f t="shared" ref="F660:G660" si="157">SUM(F661)</f>
        <v>0</v>
      </c>
      <c r="G660" s="1302">
        <f t="shared" si="157"/>
        <v>0</v>
      </c>
      <c r="H660" s="1303"/>
    </row>
    <row r="661" spans="1:8" ht="17.100000000000001" customHeight="1" thickBot="1">
      <c r="A661" s="1057"/>
      <c r="B661" s="1069"/>
      <c r="C661" s="1308" t="s">
        <v>144</v>
      </c>
      <c r="D661" s="1309" t="s">
        <v>650</v>
      </c>
      <c r="E661" s="1310">
        <v>140000</v>
      </c>
      <c r="F661" s="1310">
        <v>0</v>
      </c>
      <c r="G661" s="1310">
        <v>0</v>
      </c>
      <c r="H661" s="1311"/>
    </row>
    <row r="662" spans="1:8" ht="17.100000000000001" customHeight="1" thickBot="1">
      <c r="A662" s="1057"/>
      <c r="B662" s="1144" t="s">
        <v>752</v>
      </c>
      <c r="C662" s="1145"/>
      <c r="D662" s="1146" t="s">
        <v>378</v>
      </c>
      <c r="E662" s="1147">
        <f>E663+E739</f>
        <v>116887055</v>
      </c>
      <c r="F662" s="1147">
        <f t="shared" ref="F662:G662" si="158">F663+F739</f>
        <v>114193581</v>
      </c>
      <c r="G662" s="1147">
        <f t="shared" si="158"/>
        <v>100347993</v>
      </c>
      <c r="H662" s="1148">
        <f t="shared" si="143"/>
        <v>0.87875336005094717</v>
      </c>
    </row>
    <row r="663" spans="1:8" ht="17.100000000000001" customHeight="1">
      <c r="A663" s="1057"/>
      <c r="B663" s="1069"/>
      <c r="C663" s="2148" t="s">
        <v>753</v>
      </c>
      <c r="D663" s="2148"/>
      <c r="E663" s="1063">
        <f t="shared" ref="E663:G663" si="159">E664+E695+E698</f>
        <v>85876980</v>
      </c>
      <c r="F663" s="1063">
        <f t="shared" si="159"/>
        <v>86261881</v>
      </c>
      <c r="G663" s="1063">
        <f t="shared" si="159"/>
        <v>82177083</v>
      </c>
      <c r="H663" s="1064">
        <f t="shared" si="143"/>
        <v>0.95264654616098621</v>
      </c>
    </row>
    <row r="664" spans="1:8" ht="17.100000000000001" customHeight="1">
      <c r="A664" s="1057"/>
      <c r="B664" s="1069"/>
      <c r="C664" s="2276" t="s">
        <v>561</v>
      </c>
      <c r="D664" s="2276"/>
      <c r="E664" s="1103">
        <f t="shared" ref="E664:G664" si="160">E665+E672</f>
        <v>51721616</v>
      </c>
      <c r="F664" s="1103">
        <f t="shared" si="160"/>
        <v>54013415</v>
      </c>
      <c r="G664" s="1103">
        <f t="shared" si="160"/>
        <v>51273011</v>
      </c>
      <c r="H664" s="1104">
        <f t="shared" si="143"/>
        <v>0.94926438182070139</v>
      </c>
    </row>
    <row r="665" spans="1:8" ht="17.100000000000001" customHeight="1">
      <c r="A665" s="1057"/>
      <c r="B665" s="1069"/>
      <c r="C665" s="2277" t="s">
        <v>562</v>
      </c>
      <c r="D665" s="2277"/>
      <c r="E665" s="1227">
        <f t="shared" ref="E665:G665" si="161">SUM(E666:E670)</f>
        <v>42722986</v>
      </c>
      <c r="F665" s="1227">
        <f t="shared" si="161"/>
        <v>43595785</v>
      </c>
      <c r="G665" s="1227">
        <f t="shared" si="161"/>
        <v>43094955</v>
      </c>
      <c r="H665" s="1228">
        <f t="shared" si="143"/>
        <v>0.98851196279640341</v>
      </c>
    </row>
    <row r="666" spans="1:8" ht="17.100000000000001" customHeight="1">
      <c r="A666" s="1057"/>
      <c r="B666" s="1069"/>
      <c r="C666" s="1096" t="s">
        <v>145</v>
      </c>
      <c r="D666" s="1097" t="s">
        <v>563</v>
      </c>
      <c r="E666" s="1079">
        <v>33099557</v>
      </c>
      <c r="F666" s="1079">
        <v>34302675</v>
      </c>
      <c r="G666" s="1079">
        <f>33918640-1113</f>
        <v>33917527</v>
      </c>
      <c r="H666" s="1080">
        <f t="shared" si="143"/>
        <v>0.9887720709828024</v>
      </c>
    </row>
    <row r="667" spans="1:8" ht="17.100000000000001" customHeight="1">
      <c r="A667" s="1057"/>
      <c r="B667" s="1069"/>
      <c r="C667" s="1096" t="s">
        <v>564</v>
      </c>
      <c r="D667" s="1097" t="s">
        <v>565</v>
      </c>
      <c r="E667" s="1079">
        <v>2617006</v>
      </c>
      <c r="F667" s="1079">
        <v>2525906</v>
      </c>
      <c r="G667" s="1079">
        <v>2525815</v>
      </c>
      <c r="H667" s="1080">
        <f t="shared" si="143"/>
        <v>0.99996397332283937</v>
      </c>
    </row>
    <row r="668" spans="1:8" ht="17.100000000000001" customHeight="1">
      <c r="A668" s="1057"/>
      <c r="B668" s="1069"/>
      <c r="C668" s="1096" t="s">
        <v>146</v>
      </c>
      <c r="D668" s="1097" t="s">
        <v>566</v>
      </c>
      <c r="E668" s="1079">
        <v>6096956</v>
      </c>
      <c r="F668" s="1079">
        <v>6032129</v>
      </c>
      <c r="G668" s="1079">
        <f>5957363-194</f>
        <v>5957169</v>
      </c>
      <c r="H668" s="1080">
        <f t="shared" si="143"/>
        <v>0.98757321005568677</v>
      </c>
    </row>
    <row r="669" spans="1:8" ht="17.100000000000001" customHeight="1">
      <c r="A669" s="1057"/>
      <c r="B669" s="1069"/>
      <c r="C669" s="1096" t="s">
        <v>147</v>
      </c>
      <c r="D669" s="1097" t="s">
        <v>567</v>
      </c>
      <c r="E669" s="1079">
        <v>859467</v>
      </c>
      <c r="F669" s="1079">
        <v>685075</v>
      </c>
      <c r="G669" s="1079">
        <f>653071-27</f>
        <v>653044</v>
      </c>
      <c r="H669" s="1080">
        <f t="shared" si="143"/>
        <v>0.95324453526986097</v>
      </c>
    </row>
    <row r="670" spans="1:8" ht="17.100000000000001" customHeight="1">
      <c r="A670" s="1057"/>
      <c r="B670" s="1069"/>
      <c r="C670" s="1096" t="s">
        <v>568</v>
      </c>
      <c r="D670" s="1097" t="s">
        <v>569</v>
      </c>
      <c r="E670" s="1079">
        <v>50000</v>
      </c>
      <c r="F670" s="1079">
        <v>50000</v>
      </c>
      <c r="G670" s="1079">
        <v>41400</v>
      </c>
      <c r="H670" s="1080">
        <f t="shared" si="143"/>
        <v>0.82799999999999996</v>
      </c>
    </row>
    <row r="671" spans="1:8" ht="17.100000000000001" customHeight="1">
      <c r="A671" s="1057"/>
      <c r="B671" s="1069"/>
      <c r="C671" s="1098"/>
      <c r="D671" s="1098"/>
      <c r="E671" s="1075"/>
      <c r="F671" s="1075"/>
      <c r="G671" s="1075"/>
      <c r="H671" s="1076"/>
    </row>
    <row r="672" spans="1:8" ht="17.100000000000001" customHeight="1">
      <c r="A672" s="1057"/>
      <c r="B672" s="1069"/>
      <c r="C672" s="2288" t="s">
        <v>570</v>
      </c>
      <c r="D672" s="2288"/>
      <c r="E672" s="1115">
        <f t="shared" ref="E672:G672" si="162">SUM(E673:E693)</f>
        <v>8998630</v>
      </c>
      <c r="F672" s="1115">
        <f t="shared" si="162"/>
        <v>10417630</v>
      </c>
      <c r="G672" s="1115">
        <f t="shared" si="162"/>
        <v>8178056</v>
      </c>
      <c r="H672" s="1116">
        <f t="shared" si="143"/>
        <v>0.78502077727851727</v>
      </c>
    </row>
    <row r="673" spans="1:8" ht="17.100000000000001" customHeight="1">
      <c r="A673" s="1057"/>
      <c r="B673" s="1069"/>
      <c r="C673" s="1201" t="s">
        <v>571</v>
      </c>
      <c r="D673" s="1097" t="s">
        <v>572</v>
      </c>
      <c r="E673" s="1103">
        <v>495000</v>
      </c>
      <c r="F673" s="1103">
        <v>490000</v>
      </c>
      <c r="G673" s="1103">
        <v>391013</v>
      </c>
      <c r="H673" s="1104">
        <f t="shared" si="143"/>
        <v>0.7979857142857143</v>
      </c>
    </row>
    <row r="674" spans="1:8" ht="17.100000000000001" customHeight="1">
      <c r="A674" s="1057"/>
      <c r="B674" s="1069"/>
      <c r="C674" s="1096" t="s">
        <v>143</v>
      </c>
      <c r="D674" s="1097" t="s">
        <v>573</v>
      </c>
      <c r="E674" s="1103">
        <f>2430000+30000</f>
        <v>2460000</v>
      </c>
      <c r="F674" s="1103">
        <v>3532000</v>
      </c>
      <c r="G674" s="1103">
        <v>2834344</v>
      </c>
      <c r="H674" s="1104">
        <f t="shared" si="143"/>
        <v>0.802475651189128</v>
      </c>
    </row>
    <row r="675" spans="1:8" ht="17.100000000000001" customHeight="1">
      <c r="A675" s="1057"/>
      <c r="B675" s="1069"/>
      <c r="C675" s="1096" t="s">
        <v>574</v>
      </c>
      <c r="D675" s="1097" t="s">
        <v>575</v>
      </c>
      <c r="E675" s="1103">
        <v>80000</v>
      </c>
      <c r="F675" s="1103">
        <v>80000</v>
      </c>
      <c r="G675" s="1103">
        <v>37167</v>
      </c>
      <c r="H675" s="1104">
        <f t="shared" si="143"/>
        <v>0.46458749999999999</v>
      </c>
    </row>
    <row r="676" spans="1:8" ht="17.100000000000001" customHeight="1">
      <c r="A676" s="1057"/>
      <c r="B676" s="1069"/>
      <c r="C676" s="1096" t="s">
        <v>576</v>
      </c>
      <c r="D676" s="1097" t="s">
        <v>577</v>
      </c>
      <c r="E676" s="1103">
        <v>1225000</v>
      </c>
      <c r="F676" s="1103">
        <v>1195000</v>
      </c>
      <c r="G676" s="1103">
        <v>783272</v>
      </c>
      <c r="H676" s="1104">
        <f t="shared" si="143"/>
        <v>0.65545774058577411</v>
      </c>
    </row>
    <row r="677" spans="1:8" ht="17.100000000000001" customHeight="1">
      <c r="A677" s="1057"/>
      <c r="B677" s="1069"/>
      <c r="C677" s="1096" t="s">
        <v>24</v>
      </c>
      <c r="D677" s="1097" t="s">
        <v>578</v>
      </c>
      <c r="E677" s="1103">
        <v>521500</v>
      </c>
      <c r="F677" s="1103">
        <v>551500</v>
      </c>
      <c r="G677" s="1103">
        <v>412677</v>
      </c>
      <c r="H677" s="1104">
        <f t="shared" si="143"/>
        <v>0.7482810516772439</v>
      </c>
    </row>
    <row r="678" spans="1:8" ht="17.100000000000001" customHeight="1">
      <c r="A678" s="1057"/>
      <c r="B678" s="1069"/>
      <c r="C678" s="1096" t="s">
        <v>579</v>
      </c>
      <c r="D678" s="1097" t="s">
        <v>580</v>
      </c>
      <c r="E678" s="1103">
        <v>60000</v>
      </c>
      <c r="F678" s="1103">
        <v>60000</v>
      </c>
      <c r="G678" s="1103">
        <v>38751</v>
      </c>
      <c r="H678" s="1104">
        <f t="shared" si="143"/>
        <v>0.64585000000000004</v>
      </c>
    </row>
    <row r="679" spans="1:8" ht="17.100000000000001" customHeight="1">
      <c r="A679" s="1057"/>
      <c r="B679" s="1069"/>
      <c r="C679" s="1096" t="s">
        <v>25</v>
      </c>
      <c r="D679" s="1097" t="s">
        <v>581</v>
      </c>
      <c r="E679" s="1103">
        <f>1261650+50000</f>
        <v>1311650</v>
      </c>
      <c r="F679" s="1103">
        <v>1611650</v>
      </c>
      <c r="G679" s="1103">
        <v>1388583</v>
      </c>
      <c r="H679" s="1104">
        <f t="shared" si="143"/>
        <v>0.86159091614184224</v>
      </c>
    </row>
    <row r="680" spans="1:8" ht="16.5" customHeight="1">
      <c r="A680" s="1057"/>
      <c r="B680" s="1069"/>
      <c r="C680" s="1096" t="s">
        <v>582</v>
      </c>
      <c r="D680" s="1097" t="s">
        <v>583</v>
      </c>
      <c r="E680" s="1103">
        <v>190000</v>
      </c>
      <c r="F680" s="1103">
        <v>105000</v>
      </c>
      <c r="G680" s="1103">
        <v>61551</v>
      </c>
      <c r="H680" s="1104">
        <f t="shared" si="143"/>
        <v>0.58620000000000005</v>
      </c>
    </row>
    <row r="681" spans="1:8" ht="17.100000000000001" customHeight="1">
      <c r="A681" s="1057"/>
      <c r="B681" s="1069"/>
      <c r="C681" s="1096" t="s">
        <v>754</v>
      </c>
      <c r="D681" s="1097" t="s">
        <v>740</v>
      </c>
      <c r="E681" s="1103">
        <v>10000</v>
      </c>
      <c r="F681" s="1103">
        <v>20000</v>
      </c>
      <c r="G681" s="1103">
        <v>11765</v>
      </c>
      <c r="H681" s="1104">
        <f t="shared" si="143"/>
        <v>0.58825000000000005</v>
      </c>
    </row>
    <row r="682" spans="1:8" ht="17.100000000000001" customHeight="1">
      <c r="A682" s="1057"/>
      <c r="B682" s="1069"/>
      <c r="C682" s="1096" t="s">
        <v>164</v>
      </c>
      <c r="D682" s="1097" t="s">
        <v>584</v>
      </c>
      <c r="E682" s="1103">
        <v>60000</v>
      </c>
      <c r="F682" s="1103">
        <v>60000</v>
      </c>
      <c r="G682" s="1103">
        <v>11928</v>
      </c>
      <c r="H682" s="1104">
        <f t="shared" si="143"/>
        <v>0.1988</v>
      </c>
    </row>
    <row r="683" spans="1:8" ht="17.100000000000001" customHeight="1">
      <c r="A683" s="1057"/>
      <c r="B683" s="1069"/>
      <c r="C683" s="1096" t="s">
        <v>585</v>
      </c>
      <c r="D683" s="1097" t="s">
        <v>586</v>
      </c>
      <c r="E683" s="1103">
        <v>60000</v>
      </c>
      <c r="F683" s="1103">
        <v>60000</v>
      </c>
      <c r="G683" s="1103">
        <v>56616</v>
      </c>
      <c r="H683" s="1104">
        <f t="shared" si="143"/>
        <v>0.94359999999999999</v>
      </c>
    </row>
    <row r="684" spans="1:8" ht="17.100000000000001" customHeight="1">
      <c r="A684" s="1057"/>
      <c r="B684" s="1069"/>
      <c r="C684" s="1096" t="s">
        <v>587</v>
      </c>
      <c r="D684" s="1097" t="s">
        <v>588</v>
      </c>
      <c r="E684" s="1103">
        <v>150000</v>
      </c>
      <c r="F684" s="1103">
        <v>210000</v>
      </c>
      <c r="G684" s="1103">
        <v>182962</v>
      </c>
      <c r="H684" s="1104">
        <f t="shared" ref="H684:H746" si="163">G684/F684</f>
        <v>0.87124761904761905</v>
      </c>
    </row>
    <row r="685" spans="1:8" ht="17.100000000000001" customHeight="1">
      <c r="A685" s="1057"/>
      <c r="B685" s="1069"/>
      <c r="C685" s="1096" t="s">
        <v>701</v>
      </c>
      <c r="D685" s="1097" t="s">
        <v>702</v>
      </c>
      <c r="E685" s="1103">
        <v>250000</v>
      </c>
      <c r="F685" s="1103">
        <v>257000</v>
      </c>
      <c r="G685" s="1103">
        <v>157048</v>
      </c>
      <c r="H685" s="1104">
        <f t="shared" si="163"/>
        <v>0.61108171206225681</v>
      </c>
    </row>
    <row r="686" spans="1:8" ht="17.100000000000001" customHeight="1">
      <c r="A686" s="1057"/>
      <c r="B686" s="1069"/>
      <c r="C686" s="1096" t="s">
        <v>589</v>
      </c>
      <c r="D686" s="1097" t="s">
        <v>590</v>
      </c>
      <c r="E686" s="1103">
        <v>150000</v>
      </c>
      <c r="F686" s="1103">
        <v>150000</v>
      </c>
      <c r="G686" s="1103">
        <v>93181</v>
      </c>
      <c r="H686" s="1104">
        <f t="shared" si="163"/>
        <v>0.62120666666666668</v>
      </c>
    </row>
    <row r="687" spans="1:8" ht="17.100000000000001" customHeight="1">
      <c r="A687" s="1057"/>
      <c r="B687" s="1069"/>
      <c r="C687" s="1096" t="s">
        <v>591</v>
      </c>
      <c r="D687" s="1097" t="s">
        <v>592</v>
      </c>
      <c r="E687" s="1103">
        <v>1395480</v>
      </c>
      <c r="F687" s="1103">
        <v>1395480</v>
      </c>
      <c r="G687" s="1103">
        <v>1295756</v>
      </c>
      <c r="H687" s="1104">
        <f t="shared" si="163"/>
        <v>0.92853785077536044</v>
      </c>
    </row>
    <row r="688" spans="1:8" ht="17.100000000000001" customHeight="1">
      <c r="A688" s="1057"/>
      <c r="B688" s="1069"/>
      <c r="C688" s="1096" t="s">
        <v>595</v>
      </c>
      <c r="D688" s="1097" t="s">
        <v>596</v>
      </c>
      <c r="E688" s="1103">
        <v>10000</v>
      </c>
      <c r="F688" s="1103">
        <v>10000</v>
      </c>
      <c r="G688" s="1103">
        <v>1290</v>
      </c>
      <c r="H688" s="1104">
        <f t="shared" si="163"/>
        <v>0.129</v>
      </c>
    </row>
    <row r="689" spans="1:8" ht="17.100000000000001" customHeight="1">
      <c r="A689" s="1057"/>
      <c r="B689" s="1069"/>
      <c r="C689" s="1096" t="s">
        <v>597</v>
      </c>
      <c r="D689" s="1097" t="s">
        <v>598</v>
      </c>
      <c r="E689" s="1103">
        <v>170000</v>
      </c>
      <c r="F689" s="1103">
        <v>170000</v>
      </c>
      <c r="G689" s="1103">
        <v>121583</v>
      </c>
      <c r="H689" s="1104">
        <f t="shared" si="163"/>
        <v>0.71519411764705887</v>
      </c>
    </row>
    <row r="690" spans="1:8" ht="17.100000000000001" customHeight="1">
      <c r="A690" s="1057"/>
      <c r="B690" s="1069"/>
      <c r="C690" s="1087" t="s">
        <v>599</v>
      </c>
      <c r="D690" s="1088" t="s">
        <v>600</v>
      </c>
      <c r="E690" s="1103">
        <v>100000</v>
      </c>
      <c r="F690" s="1103">
        <v>99446</v>
      </c>
      <c r="G690" s="1103">
        <v>10008</v>
      </c>
      <c r="H690" s="1104">
        <f t="shared" si="163"/>
        <v>0.10063753192687488</v>
      </c>
    </row>
    <row r="691" spans="1:8" ht="17.100000000000001" customHeight="1">
      <c r="A691" s="1057"/>
      <c r="B691" s="1069"/>
      <c r="C691" s="1087" t="s">
        <v>689</v>
      </c>
      <c r="D691" s="1088" t="s">
        <v>690</v>
      </c>
      <c r="E691" s="1103">
        <v>0</v>
      </c>
      <c r="F691" s="1103">
        <v>554</v>
      </c>
      <c r="G691" s="1103">
        <v>537</v>
      </c>
      <c r="H691" s="1104">
        <f t="shared" si="163"/>
        <v>0.96931407942238268</v>
      </c>
    </row>
    <row r="692" spans="1:8" ht="17.100000000000001" customHeight="1">
      <c r="A692" s="1057"/>
      <c r="B692" s="1069"/>
      <c r="C692" s="1087" t="s">
        <v>608</v>
      </c>
      <c r="D692" s="1088" t="s">
        <v>609</v>
      </c>
      <c r="E692" s="1103">
        <v>100000</v>
      </c>
      <c r="F692" s="1103">
        <v>100000</v>
      </c>
      <c r="G692" s="1103">
        <v>47640</v>
      </c>
      <c r="H692" s="1104">
        <f t="shared" si="163"/>
        <v>0.47639999999999999</v>
      </c>
    </row>
    <row r="693" spans="1:8" ht="17.100000000000001" customHeight="1">
      <c r="A693" s="1057"/>
      <c r="B693" s="1069"/>
      <c r="C693" s="1201" t="s">
        <v>148</v>
      </c>
      <c r="D693" s="1312" t="s">
        <v>601</v>
      </c>
      <c r="E693" s="1103">
        <v>200000</v>
      </c>
      <c r="F693" s="1103">
        <v>260000</v>
      </c>
      <c r="G693" s="1103">
        <v>240384</v>
      </c>
      <c r="H693" s="1104">
        <f t="shared" si="163"/>
        <v>0.92455384615384617</v>
      </c>
    </row>
    <row r="694" spans="1:8" ht="17.100000000000001" customHeight="1">
      <c r="A694" s="1057"/>
      <c r="B694" s="1069"/>
      <c r="C694" s="1098"/>
      <c r="D694" s="1098"/>
      <c r="E694" s="1075"/>
      <c r="F694" s="1075"/>
      <c r="G694" s="1075"/>
      <c r="H694" s="1076"/>
    </row>
    <row r="695" spans="1:8" ht="17.100000000000001" customHeight="1">
      <c r="A695" s="1057"/>
      <c r="B695" s="1069"/>
      <c r="C695" s="2272" t="s">
        <v>602</v>
      </c>
      <c r="D695" s="2272"/>
      <c r="E695" s="1079">
        <f t="shared" ref="E695:G695" si="164">E696</f>
        <v>70000</v>
      </c>
      <c r="F695" s="1079">
        <f t="shared" si="164"/>
        <v>150000</v>
      </c>
      <c r="G695" s="1079">
        <f t="shared" si="164"/>
        <v>123556</v>
      </c>
      <c r="H695" s="1080">
        <f t="shared" si="163"/>
        <v>0.8237066666666667</v>
      </c>
    </row>
    <row r="696" spans="1:8" ht="17.100000000000001" customHeight="1">
      <c r="A696" s="1057"/>
      <c r="B696" s="1069"/>
      <c r="C696" s="1125" t="s">
        <v>603</v>
      </c>
      <c r="D696" s="1126" t="s">
        <v>604</v>
      </c>
      <c r="E696" s="1103">
        <v>70000</v>
      </c>
      <c r="F696" s="1103">
        <v>150000</v>
      </c>
      <c r="G696" s="1103">
        <v>123556</v>
      </c>
      <c r="H696" s="1104">
        <f t="shared" si="163"/>
        <v>0.8237066666666667</v>
      </c>
    </row>
    <row r="697" spans="1:8" ht="17.100000000000001" customHeight="1">
      <c r="A697" s="1057"/>
      <c r="B697" s="1069"/>
      <c r="C697" s="1098"/>
      <c r="D697" s="1098"/>
      <c r="E697" s="1075"/>
      <c r="F697" s="1075"/>
      <c r="G697" s="1075"/>
      <c r="H697" s="1076"/>
    </row>
    <row r="698" spans="1:8" ht="17.100000000000001" customHeight="1">
      <c r="A698" s="1057"/>
      <c r="B698" s="1069"/>
      <c r="C698" s="2289" t="s">
        <v>616</v>
      </c>
      <c r="D698" s="2290"/>
      <c r="E698" s="1079">
        <f>SUM(E699:E737)</f>
        <v>34085364</v>
      </c>
      <c r="F698" s="1079">
        <f t="shared" ref="F698:G698" si="165">SUM(F699:F737)</f>
        <v>32098466</v>
      </c>
      <c r="G698" s="1079">
        <f t="shared" si="165"/>
        <v>30780516</v>
      </c>
      <c r="H698" s="1080">
        <f t="shared" si="163"/>
        <v>0.95894040543868986</v>
      </c>
    </row>
    <row r="699" spans="1:8" ht="17.100000000000001" customHeight="1">
      <c r="A699" s="1057"/>
      <c r="B699" s="1069"/>
      <c r="C699" s="1313" t="s">
        <v>755</v>
      </c>
      <c r="D699" s="1126" t="s">
        <v>604</v>
      </c>
      <c r="E699" s="1079">
        <v>21250</v>
      </c>
      <c r="F699" s="1079">
        <v>21250</v>
      </c>
      <c r="G699" s="1079">
        <v>14237</v>
      </c>
      <c r="H699" s="1080">
        <f t="shared" si="163"/>
        <v>0.66997647058823528</v>
      </c>
    </row>
    <row r="700" spans="1:8" ht="17.100000000000001" customHeight="1">
      <c r="A700" s="1057"/>
      <c r="B700" s="1069"/>
      <c r="C700" s="1314" t="s">
        <v>756</v>
      </c>
      <c r="D700" s="1108" t="s">
        <v>604</v>
      </c>
      <c r="E700" s="1079">
        <v>3750</v>
      </c>
      <c r="F700" s="1079">
        <v>3750</v>
      </c>
      <c r="G700" s="1079">
        <v>2513</v>
      </c>
      <c r="H700" s="1080">
        <f t="shared" si="163"/>
        <v>0.67013333333333336</v>
      </c>
    </row>
    <row r="701" spans="1:8" ht="17.100000000000001" customHeight="1">
      <c r="A701" s="1057"/>
      <c r="B701" s="1069"/>
      <c r="C701" s="1142" t="s">
        <v>757</v>
      </c>
      <c r="D701" s="1312" t="s">
        <v>758</v>
      </c>
      <c r="E701" s="1079">
        <v>46750</v>
      </c>
      <c r="F701" s="1079">
        <v>4675</v>
      </c>
      <c r="G701" s="1079">
        <v>1975</v>
      </c>
      <c r="H701" s="1080">
        <f t="shared" si="163"/>
        <v>0.42245989304812837</v>
      </c>
    </row>
    <row r="702" spans="1:8" ht="17.100000000000001" customHeight="1">
      <c r="A702" s="1057"/>
      <c r="B702" s="1069"/>
      <c r="C702" s="1142" t="s">
        <v>759</v>
      </c>
      <c r="D702" s="1312" t="s">
        <v>758</v>
      </c>
      <c r="E702" s="1079">
        <v>8250</v>
      </c>
      <c r="F702" s="1079">
        <v>825</v>
      </c>
      <c r="G702" s="1079">
        <v>349</v>
      </c>
      <c r="H702" s="1080">
        <f t="shared" si="163"/>
        <v>0.42303030303030303</v>
      </c>
    </row>
    <row r="703" spans="1:8" ht="17.100000000000001" customHeight="1">
      <c r="A703" s="1057"/>
      <c r="B703" s="1069"/>
      <c r="C703" s="1125" t="s">
        <v>620</v>
      </c>
      <c r="D703" s="1126" t="s">
        <v>563</v>
      </c>
      <c r="E703" s="1079">
        <v>17436835</v>
      </c>
      <c r="F703" s="1079">
        <v>17517585</v>
      </c>
      <c r="G703" s="1079">
        <v>17514925</v>
      </c>
      <c r="H703" s="1080">
        <f t="shared" si="163"/>
        <v>0.99984815258495963</v>
      </c>
    </row>
    <row r="704" spans="1:8" ht="17.100000000000001" customHeight="1">
      <c r="A704" s="1057"/>
      <c r="B704" s="1069"/>
      <c r="C704" s="1096" t="s">
        <v>621</v>
      </c>
      <c r="D704" s="1097" t="s">
        <v>563</v>
      </c>
      <c r="E704" s="1079">
        <v>3077089</v>
      </c>
      <c r="F704" s="1079">
        <v>3091339</v>
      </c>
      <c r="G704" s="1079">
        <v>3090873</v>
      </c>
      <c r="H704" s="1080">
        <f t="shared" si="163"/>
        <v>0.99984925626079835</v>
      </c>
    </row>
    <row r="705" spans="1:8" ht="17.100000000000001" customHeight="1">
      <c r="A705" s="1057"/>
      <c r="B705" s="1069"/>
      <c r="C705" s="1096" t="s">
        <v>622</v>
      </c>
      <c r="D705" s="1097" t="s">
        <v>565</v>
      </c>
      <c r="E705" s="1079">
        <v>1107282</v>
      </c>
      <c r="F705" s="1079">
        <v>1107282</v>
      </c>
      <c r="G705" s="1079">
        <v>1046372</v>
      </c>
      <c r="H705" s="1080">
        <f t="shared" si="163"/>
        <v>0.94499142946421955</v>
      </c>
    </row>
    <row r="706" spans="1:8" ht="17.100000000000001" customHeight="1">
      <c r="A706" s="1057"/>
      <c r="B706" s="1069"/>
      <c r="C706" s="1096" t="s">
        <v>623</v>
      </c>
      <c r="D706" s="1097" t="s">
        <v>565</v>
      </c>
      <c r="E706" s="1079">
        <v>195401</v>
      </c>
      <c r="F706" s="1079">
        <v>195401</v>
      </c>
      <c r="G706" s="1079">
        <v>184654</v>
      </c>
      <c r="H706" s="1080">
        <f t="shared" si="163"/>
        <v>0.94500028147245918</v>
      </c>
    </row>
    <row r="707" spans="1:8" ht="17.100000000000001" customHeight="1">
      <c r="A707" s="1057"/>
      <c r="B707" s="1069"/>
      <c r="C707" s="1096" t="s">
        <v>624</v>
      </c>
      <c r="D707" s="1097" t="s">
        <v>566</v>
      </c>
      <c r="E707" s="1079">
        <v>3248093</v>
      </c>
      <c r="F707" s="1079">
        <v>3227651</v>
      </c>
      <c r="G707" s="1079">
        <v>3174844</v>
      </c>
      <c r="H707" s="1080">
        <f t="shared" si="163"/>
        <v>0.98363918527746652</v>
      </c>
    </row>
    <row r="708" spans="1:8" ht="17.100000000000001" customHeight="1">
      <c r="A708" s="1057"/>
      <c r="B708" s="1069"/>
      <c r="C708" s="1096" t="s">
        <v>625</v>
      </c>
      <c r="D708" s="1097" t="s">
        <v>566</v>
      </c>
      <c r="E708" s="1079">
        <v>573194</v>
      </c>
      <c r="F708" s="1079">
        <v>569587</v>
      </c>
      <c r="G708" s="1079">
        <v>560277</v>
      </c>
      <c r="H708" s="1080">
        <f t="shared" si="163"/>
        <v>0.98365482358270118</v>
      </c>
    </row>
    <row r="709" spans="1:8" ht="17.100000000000001" customHeight="1">
      <c r="A709" s="1057"/>
      <c r="B709" s="1069"/>
      <c r="C709" s="1096" t="s">
        <v>626</v>
      </c>
      <c r="D709" s="1097" t="s">
        <v>567</v>
      </c>
      <c r="E709" s="1079">
        <v>457696</v>
      </c>
      <c r="F709" s="1079">
        <v>374439</v>
      </c>
      <c r="G709" s="1079">
        <v>367291</v>
      </c>
      <c r="H709" s="1080">
        <f t="shared" si="163"/>
        <v>0.98091010818851665</v>
      </c>
    </row>
    <row r="710" spans="1:8" ht="17.100000000000001" customHeight="1">
      <c r="A710" s="1057"/>
      <c r="B710" s="1069"/>
      <c r="C710" s="1096" t="s">
        <v>627</v>
      </c>
      <c r="D710" s="1097" t="s">
        <v>567</v>
      </c>
      <c r="E710" s="1079">
        <v>80770</v>
      </c>
      <c r="F710" s="1079">
        <v>66078</v>
      </c>
      <c r="G710" s="1079">
        <v>64820</v>
      </c>
      <c r="H710" s="1080">
        <f t="shared" si="163"/>
        <v>0.98096189351977969</v>
      </c>
    </row>
    <row r="711" spans="1:8" ht="17.100000000000001" customHeight="1">
      <c r="A711" s="1057"/>
      <c r="B711" s="1069"/>
      <c r="C711" s="1096" t="s">
        <v>628</v>
      </c>
      <c r="D711" s="1097" t="s">
        <v>569</v>
      </c>
      <c r="E711" s="1079">
        <f>382500+63750+1600975</f>
        <v>2047225</v>
      </c>
      <c r="F711" s="1079">
        <v>768910</v>
      </c>
      <c r="G711" s="1079">
        <v>438609</v>
      </c>
      <c r="H711" s="1080">
        <f t="shared" si="163"/>
        <v>0.57042956913032739</v>
      </c>
    </row>
    <row r="712" spans="1:8" ht="17.100000000000001" customHeight="1">
      <c r="A712" s="1057"/>
      <c r="B712" s="1069"/>
      <c r="C712" s="1096" t="s">
        <v>629</v>
      </c>
      <c r="D712" s="1097" t="s">
        <v>569</v>
      </c>
      <c r="E712" s="1079">
        <f>67500+11250+282525</f>
        <v>361275</v>
      </c>
      <c r="F712" s="1079">
        <v>135690</v>
      </c>
      <c r="G712" s="1079">
        <v>77401</v>
      </c>
      <c r="H712" s="1080">
        <f t="shared" si="163"/>
        <v>0.57042523398924017</v>
      </c>
    </row>
    <row r="713" spans="1:8" ht="17.100000000000001" customHeight="1">
      <c r="A713" s="1057"/>
      <c r="B713" s="1069"/>
      <c r="C713" s="1096" t="s">
        <v>633</v>
      </c>
      <c r="D713" s="1097" t="s">
        <v>573</v>
      </c>
      <c r="E713" s="1079">
        <f>102000+510000</f>
        <v>612000</v>
      </c>
      <c r="F713" s="1079">
        <v>1202750</v>
      </c>
      <c r="G713" s="1079">
        <v>963095</v>
      </c>
      <c r="H713" s="1080">
        <f t="shared" si="163"/>
        <v>0.80074412803990858</v>
      </c>
    </row>
    <row r="714" spans="1:8" ht="17.100000000000001" customHeight="1">
      <c r="A714" s="1057"/>
      <c r="B714" s="1069"/>
      <c r="C714" s="1096" t="s">
        <v>634</v>
      </c>
      <c r="D714" s="1097" t="s">
        <v>573</v>
      </c>
      <c r="E714" s="1079">
        <f>18000+90000</f>
        <v>108000</v>
      </c>
      <c r="F714" s="1079">
        <v>212250</v>
      </c>
      <c r="G714" s="1079">
        <v>169958</v>
      </c>
      <c r="H714" s="1080">
        <f t="shared" si="163"/>
        <v>0.80074440518256773</v>
      </c>
    </row>
    <row r="715" spans="1:8" ht="17.100000000000001" customHeight="1">
      <c r="A715" s="1057"/>
      <c r="B715" s="1069"/>
      <c r="C715" s="1096" t="s">
        <v>760</v>
      </c>
      <c r="D715" s="1097" t="s">
        <v>577</v>
      </c>
      <c r="E715" s="1079">
        <v>289000</v>
      </c>
      <c r="F715" s="1079">
        <v>289000</v>
      </c>
      <c r="G715" s="1079">
        <v>248994</v>
      </c>
      <c r="H715" s="1080">
        <f t="shared" si="163"/>
        <v>0.86157093425605535</v>
      </c>
    </row>
    <row r="716" spans="1:8" ht="17.100000000000001" customHeight="1">
      <c r="A716" s="1057"/>
      <c r="B716" s="1069"/>
      <c r="C716" s="1096" t="s">
        <v>761</v>
      </c>
      <c r="D716" s="1097" t="s">
        <v>577</v>
      </c>
      <c r="E716" s="1079">
        <v>51000</v>
      </c>
      <c r="F716" s="1079">
        <v>51000</v>
      </c>
      <c r="G716" s="1079">
        <v>43940</v>
      </c>
      <c r="H716" s="1080">
        <f t="shared" si="163"/>
        <v>0.8615686274509804</v>
      </c>
    </row>
    <row r="717" spans="1:8" ht="17.100000000000001" customHeight="1">
      <c r="A717" s="1057"/>
      <c r="B717" s="1069"/>
      <c r="C717" s="1096" t="s">
        <v>762</v>
      </c>
      <c r="D717" s="1097" t="s">
        <v>580</v>
      </c>
      <c r="E717" s="1079">
        <v>21250</v>
      </c>
      <c r="F717" s="1079">
        <v>21250</v>
      </c>
      <c r="G717" s="1079">
        <v>10754</v>
      </c>
      <c r="H717" s="1080">
        <f t="shared" si="163"/>
        <v>0.50607058823529416</v>
      </c>
    </row>
    <row r="718" spans="1:8" ht="17.100000000000001" customHeight="1">
      <c r="A718" s="1057"/>
      <c r="B718" s="1069"/>
      <c r="C718" s="1096" t="s">
        <v>763</v>
      </c>
      <c r="D718" s="1097" t="s">
        <v>580</v>
      </c>
      <c r="E718" s="1079">
        <v>3750</v>
      </c>
      <c r="F718" s="1079">
        <v>3750</v>
      </c>
      <c r="G718" s="1079">
        <v>1898</v>
      </c>
      <c r="H718" s="1080">
        <f t="shared" si="163"/>
        <v>0.50613333333333332</v>
      </c>
    </row>
    <row r="719" spans="1:8" ht="17.100000000000001" customHeight="1">
      <c r="A719" s="1057"/>
      <c r="B719" s="1069"/>
      <c r="C719" s="1096" t="s">
        <v>637</v>
      </c>
      <c r="D719" s="1097" t="s">
        <v>581</v>
      </c>
      <c r="E719" s="1079">
        <f>2018750+17000+608178</f>
        <v>2643928</v>
      </c>
      <c r="F719" s="1079">
        <v>2201928</v>
      </c>
      <c r="G719" s="1079">
        <v>1934089</v>
      </c>
      <c r="H719" s="1080">
        <f t="shared" si="163"/>
        <v>0.878361599471009</v>
      </c>
    </row>
    <row r="720" spans="1:8" ht="17.100000000000001" customHeight="1">
      <c r="A720" s="1057"/>
      <c r="B720" s="1069"/>
      <c r="C720" s="1096" t="s">
        <v>638</v>
      </c>
      <c r="D720" s="1097" t="s">
        <v>581</v>
      </c>
      <c r="E720" s="1079">
        <f>356250+3000+107326</f>
        <v>466576</v>
      </c>
      <c r="F720" s="1079">
        <v>388576</v>
      </c>
      <c r="G720" s="1079">
        <v>341310</v>
      </c>
      <c r="H720" s="1080">
        <f t="shared" si="163"/>
        <v>0.87836098987070743</v>
      </c>
    </row>
    <row r="721" spans="1:8" ht="26.25" hidden="1" customHeight="1">
      <c r="A721" s="1057"/>
      <c r="B721" s="1069"/>
      <c r="C721" s="1096" t="s">
        <v>764</v>
      </c>
      <c r="D721" s="1097" t="s">
        <v>765</v>
      </c>
      <c r="E721" s="1079">
        <v>0</v>
      </c>
      <c r="F721" s="1079"/>
      <c r="G721" s="1079"/>
      <c r="H721" s="1080" t="e">
        <f t="shared" si="163"/>
        <v>#DIV/0!</v>
      </c>
    </row>
    <row r="722" spans="1:8" ht="16.5" customHeight="1">
      <c r="A722" s="1057"/>
      <c r="B722" s="1069"/>
      <c r="C722" s="1096" t="s">
        <v>741</v>
      </c>
      <c r="D722" s="1097" t="s">
        <v>740</v>
      </c>
      <c r="E722" s="1079">
        <f>8500+17000</f>
        <v>25500</v>
      </c>
      <c r="F722" s="1079">
        <v>5950</v>
      </c>
      <c r="G722" s="1079">
        <v>1967</v>
      </c>
      <c r="H722" s="1080">
        <f t="shared" si="163"/>
        <v>0.33058823529411763</v>
      </c>
    </row>
    <row r="723" spans="1:8" ht="16.5" customHeight="1">
      <c r="A723" s="1057"/>
      <c r="B723" s="1069"/>
      <c r="C723" s="1096" t="s">
        <v>742</v>
      </c>
      <c r="D723" s="1097" t="s">
        <v>740</v>
      </c>
      <c r="E723" s="1079">
        <f>1500+3000</f>
        <v>4500</v>
      </c>
      <c r="F723" s="1079">
        <v>1050</v>
      </c>
      <c r="G723" s="1079">
        <v>347</v>
      </c>
      <c r="H723" s="1080">
        <f t="shared" si="163"/>
        <v>0.33047619047619048</v>
      </c>
    </row>
    <row r="724" spans="1:8" ht="17.100000000000001" customHeight="1">
      <c r="A724" s="1057"/>
      <c r="B724" s="1069"/>
      <c r="C724" s="1096" t="s">
        <v>639</v>
      </c>
      <c r="D724" s="1097" t="s">
        <v>584</v>
      </c>
      <c r="E724" s="1079">
        <f>314500+174250+17000</f>
        <v>505750</v>
      </c>
      <c r="F724" s="1079">
        <v>154275</v>
      </c>
      <c r="G724" s="1079">
        <v>154275</v>
      </c>
      <c r="H724" s="1080">
        <f t="shared" si="163"/>
        <v>1</v>
      </c>
    </row>
    <row r="725" spans="1:8" ht="16.5" customHeight="1">
      <c r="A725" s="1057"/>
      <c r="B725" s="1069"/>
      <c r="C725" s="1096" t="s">
        <v>640</v>
      </c>
      <c r="D725" s="1097" t="s">
        <v>584</v>
      </c>
      <c r="E725" s="1079">
        <f>55500+30750+3000</f>
        <v>89250</v>
      </c>
      <c r="F725" s="1079">
        <v>27225</v>
      </c>
      <c r="G725" s="1079">
        <v>27225</v>
      </c>
      <c r="H725" s="1080">
        <f t="shared" si="163"/>
        <v>1</v>
      </c>
    </row>
    <row r="726" spans="1:8" ht="16.5" hidden="1" customHeight="1">
      <c r="A726" s="1057"/>
      <c r="B726" s="1069"/>
      <c r="C726" s="1096" t="s">
        <v>766</v>
      </c>
      <c r="D726" s="1097" t="s">
        <v>586</v>
      </c>
      <c r="E726" s="1079">
        <v>0</v>
      </c>
      <c r="F726" s="1079"/>
      <c r="G726" s="1079"/>
      <c r="H726" s="1080" t="e">
        <f t="shared" si="163"/>
        <v>#DIV/0!</v>
      </c>
    </row>
    <row r="727" spans="1:8" ht="20.100000000000001" hidden="1" customHeight="1">
      <c r="A727" s="1057"/>
      <c r="B727" s="1069"/>
      <c r="C727" s="1096" t="s">
        <v>767</v>
      </c>
      <c r="D727" s="1097" t="s">
        <v>586</v>
      </c>
      <c r="E727" s="1079">
        <v>0</v>
      </c>
      <c r="F727" s="1079"/>
      <c r="G727" s="1079"/>
      <c r="H727" s="1080" t="e">
        <f t="shared" si="163"/>
        <v>#DIV/0!</v>
      </c>
    </row>
    <row r="728" spans="1:8" ht="17.100000000000001" customHeight="1">
      <c r="A728" s="1057"/>
      <c r="B728" s="1069"/>
      <c r="C728" s="1096" t="s">
        <v>641</v>
      </c>
      <c r="D728" s="1097" t="s">
        <v>588</v>
      </c>
      <c r="E728" s="1079">
        <f>8500+97750</f>
        <v>106250</v>
      </c>
      <c r="F728" s="1079">
        <v>67150</v>
      </c>
      <c r="G728" s="1079">
        <v>50570</v>
      </c>
      <c r="H728" s="1080">
        <f t="shared" si="163"/>
        <v>0.75309009679821293</v>
      </c>
    </row>
    <row r="729" spans="1:8" ht="17.100000000000001" customHeight="1">
      <c r="A729" s="1057"/>
      <c r="B729" s="1069"/>
      <c r="C729" s="1096" t="s">
        <v>642</v>
      </c>
      <c r="D729" s="1097" t="s">
        <v>588</v>
      </c>
      <c r="E729" s="1079">
        <f>1500+17250</f>
        <v>18750</v>
      </c>
      <c r="F729" s="1079">
        <v>11850</v>
      </c>
      <c r="G729" s="1079">
        <v>8924</v>
      </c>
      <c r="H729" s="1080">
        <f t="shared" si="163"/>
        <v>0.75308016877637129</v>
      </c>
    </row>
    <row r="730" spans="1:8" ht="17.100000000000001" customHeight="1">
      <c r="A730" s="1057"/>
      <c r="B730" s="1069"/>
      <c r="C730" s="1096" t="s">
        <v>745</v>
      </c>
      <c r="D730" s="1097" t="s">
        <v>702</v>
      </c>
      <c r="E730" s="1079">
        <v>34000</v>
      </c>
      <c r="F730" s="1079">
        <v>13600</v>
      </c>
      <c r="G730" s="1079">
        <v>2839</v>
      </c>
      <c r="H730" s="1080">
        <f t="shared" si="163"/>
        <v>0.20874999999999999</v>
      </c>
    </row>
    <row r="731" spans="1:8" ht="17.100000000000001" customHeight="1">
      <c r="A731" s="1057"/>
      <c r="B731" s="1069"/>
      <c r="C731" s="1096" t="s">
        <v>746</v>
      </c>
      <c r="D731" s="1097" t="s">
        <v>702</v>
      </c>
      <c r="E731" s="1079">
        <v>6000</v>
      </c>
      <c r="F731" s="1079">
        <v>2400</v>
      </c>
      <c r="G731" s="1079">
        <v>501</v>
      </c>
      <c r="H731" s="1080">
        <f t="shared" si="163"/>
        <v>0.20874999999999999</v>
      </c>
    </row>
    <row r="732" spans="1:8" ht="17.100000000000001" customHeight="1">
      <c r="A732" s="1057"/>
      <c r="B732" s="1069"/>
      <c r="C732" s="1096" t="s">
        <v>768</v>
      </c>
      <c r="D732" s="1097" t="s">
        <v>598</v>
      </c>
      <c r="E732" s="1079">
        <v>25500</v>
      </c>
      <c r="F732" s="1079">
        <v>25500</v>
      </c>
      <c r="G732" s="1079">
        <v>16948</v>
      </c>
      <c r="H732" s="1080">
        <f t="shared" si="163"/>
        <v>0.66462745098039211</v>
      </c>
    </row>
    <row r="733" spans="1:8" ht="17.100000000000001" customHeight="1">
      <c r="A733" s="1057"/>
      <c r="B733" s="1069"/>
      <c r="C733" s="1096" t="s">
        <v>769</v>
      </c>
      <c r="D733" s="1097" t="s">
        <v>598</v>
      </c>
      <c r="E733" s="1079">
        <v>4500</v>
      </c>
      <c r="F733" s="1079">
        <v>4500</v>
      </c>
      <c r="G733" s="1079">
        <v>2991</v>
      </c>
      <c r="H733" s="1080">
        <f t="shared" si="163"/>
        <v>0.66466666666666663</v>
      </c>
    </row>
    <row r="734" spans="1:8" ht="17.100000000000001" customHeight="1">
      <c r="A734" s="1057"/>
      <c r="B734" s="1069"/>
      <c r="C734" s="1087" t="s">
        <v>770</v>
      </c>
      <c r="D734" s="1088" t="s">
        <v>609</v>
      </c>
      <c r="E734" s="1079">
        <f>42500+89250</f>
        <v>131750</v>
      </c>
      <c r="F734" s="1079">
        <v>59500</v>
      </c>
      <c r="G734" s="1079">
        <v>5914</v>
      </c>
      <c r="H734" s="1080">
        <f t="shared" si="163"/>
        <v>9.9394957983193283E-2</v>
      </c>
    </row>
    <row r="735" spans="1:8" ht="17.100000000000001" customHeight="1">
      <c r="A735" s="1057"/>
      <c r="B735" s="1069"/>
      <c r="C735" s="1249" t="s">
        <v>771</v>
      </c>
      <c r="D735" s="1250" t="s">
        <v>609</v>
      </c>
      <c r="E735" s="1079">
        <f>7500+15750</f>
        <v>23250</v>
      </c>
      <c r="F735" s="1079">
        <v>10500</v>
      </c>
      <c r="G735" s="1079">
        <v>1044</v>
      </c>
      <c r="H735" s="1080">
        <f t="shared" si="163"/>
        <v>9.9428571428571422E-2</v>
      </c>
    </row>
    <row r="736" spans="1:8" ht="17.100000000000001" customHeight="1">
      <c r="A736" s="1057"/>
      <c r="B736" s="1069"/>
      <c r="C736" s="1125" t="s">
        <v>645</v>
      </c>
      <c r="D736" s="1126" t="s">
        <v>601</v>
      </c>
      <c r="E736" s="1079">
        <v>212500</v>
      </c>
      <c r="F736" s="1079">
        <v>221000</v>
      </c>
      <c r="G736" s="1079">
        <v>215724</v>
      </c>
      <c r="H736" s="1080">
        <f t="shared" si="163"/>
        <v>0.97612669683257913</v>
      </c>
    </row>
    <row r="737" spans="1:8" ht="17.100000000000001" customHeight="1">
      <c r="A737" s="1057"/>
      <c r="B737" s="1069"/>
      <c r="C737" s="1096" t="s">
        <v>646</v>
      </c>
      <c r="D737" s="1097" t="s">
        <v>601</v>
      </c>
      <c r="E737" s="1079">
        <v>37500</v>
      </c>
      <c r="F737" s="1079">
        <v>39000</v>
      </c>
      <c r="G737" s="1079">
        <v>38069</v>
      </c>
      <c r="H737" s="1080">
        <f t="shared" si="163"/>
        <v>0.97612820512820508</v>
      </c>
    </row>
    <row r="738" spans="1:8" ht="17.100000000000001" customHeight="1">
      <c r="A738" s="1057"/>
      <c r="B738" s="1069"/>
      <c r="C738" s="1098"/>
      <c r="D738" s="1098"/>
      <c r="E738" s="1075"/>
      <c r="F738" s="1075"/>
      <c r="G738" s="1075"/>
      <c r="H738" s="1076"/>
    </row>
    <row r="739" spans="1:8" ht="17.100000000000001" customHeight="1">
      <c r="A739" s="1057"/>
      <c r="B739" s="1069"/>
      <c r="C739" s="2281" t="s">
        <v>605</v>
      </c>
      <c r="D739" s="2281"/>
      <c r="E739" s="1083">
        <f t="shared" ref="E739:G739" si="166">E740</f>
        <v>31010075</v>
      </c>
      <c r="F739" s="1083">
        <f t="shared" si="166"/>
        <v>27931700</v>
      </c>
      <c r="G739" s="1083">
        <f t="shared" si="166"/>
        <v>18170910</v>
      </c>
      <c r="H739" s="1084">
        <f t="shared" si="163"/>
        <v>0.65054794373418012</v>
      </c>
    </row>
    <row r="740" spans="1:8" ht="17.100000000000001" customHeight="1">
      <c r="A740" s="1057"/>
      <c r="B740" s="1069"/>
      <c r="C740" s="2272" t="s">
        <v>706</v>
      </c>
      <c r="D740" s="2272"/>
      <c r="E740" s="1079">
        <f>SUM(E741:E746)</f>
        <v>31010075</v>
      </c>
      <c r="F740" s="1079">
        <f t="shared" ref="F740:G740" si="167">SUM(F741:F746)</f>
        <v>27931700</v>
      </c>
      <c r="G740" s="1079">
        <f t="shared" si="167"/>
        <v>18170910</v>
      </c>
      <c r="H740" s="1080">
        <f t="shared" si="163"/>
        <v>0.65054794373418012</v>
      </c>
    </row>
    <row r="741" spans="1:8" ht="16.5" customHeight="1">
      <c r="A741" s="1057"/>
      <c r="B741" s="1069"/>
      <c r="C741" s="1096" t="s">
        <v>26</v>
      </c>
      <c r="D741" s="1097" t="s">
        <v>607</v>
      </c>
      <c r="E741" s="1079">
        <v>21422700</v>
      </c>
      <c r="F741" s="1079">
        <v>23957700</v>
      </c>
      <c r="G741" s="1079">
        <v>16807506</v>
      </c>
      <c r="H741" s="1080">
        <f t="shared" si="163"/>
        <v>0.70154923051878937</v>
      </c>
    </row>
    <row r="742" spans="1:8" ht="17.100000000000001" customHeight="1">
      <c r="A742" s="1057"/>
      <c r="B742" s="1069"/>
      <c r="C742" s="1096" t="s">
        <v>695</v>
      </c>
      <c r="D742" s="1097" t="s">
        <v>607</v>
      </c>
      <c r="E742" s="1079">
        <v>5098619</v>
      </c>
      <c r="F742" s="1079">
        <v>2201500</v>
      </c>
      <c r="G742" s="1079">
        <v>0</v>
      </c>
      <c r="H742" s="1080">
        <f t="shared" si="163"/>
        <v>0</v>
      </c>
    </row>
    <row r="743" spans="1:8" ht="17.100000000000001" customHeight="1">
      <c r="A743" s="1057"/>
      <c r="B743" s="1069"/>
      <c r="C743" s="1096" t="s">
        <v>98</v>
      </c>
      <c r="D743" s="1097" t="s">
        <v>607</v>
      </c>
      <c r="E743" s="1079">
        <v>902756</v>
      </c>
      <c r="F743" s="1079">
        <v>388500</v>
      </c>
      <c r="G743" s="1079">
        <v>0</v>
      </c>
      <c r="H743" s="1080">
        <f t="shared" si="163"/>
        <v>0</v>
      </c>
    </row>
    <row r="744" spans="1:8" ht="17.100000000000001" customHeight="1">
      <c r="A744" s="1057"/>
      <c r="B744" s="2256"/>
      <c r="C744" s="1096" t="s">
        <v>144</v>
      </c>
      <c r="D744" s="1097" t="s">
        <v>650</v>
      </c>
      <c r="E744" s="1079">
        <v>2886000</v>
      </c>
      <c r="F744" s="1079">
        <v>1324000</v>
      </c>
      <c r="G744" s="1079">
        <v>1313466</v>
      </c>
      <c r="H744" s="1080">
        <f t="shared" si="163"/>
        <v>0.99204380664652569</v>
      </c>
    </row>
    <row r="745" spans="1:8" ht="17.100000000000001" customHeight="1">
      <c r="A745" s="1057"/>
      <c r="B745" s="2256"/>
      <c r="C745" s="1096" t="s">
        <v>708</v>
      </c>
      <c r="D745" s="1097" t="s">
        <v>650</v>
      </c>
      <c r="E745" s="1079">
        <v>595000</v>
      </c>
      <c r="F745" s="1079">
        <v>51000</v>
      </c>
      <c r="G745" s="1079">
        <v>42447</v>
      </c>
      <c r="H745" s="1080">
        <f t="shared" si="163"/>
        <v>0.83229411764705885</v>
      </c>
    </row>
    <row r="746" spans="1:8" ht="17.100000000000001" customHeight="1">
      <c r="A746" s="1057"/>
      <c r="B746" s="2256"/>
      <c r="C746" s="1096" t="s">
        <v>693</v>
      </c>
      <c r="D746" s="1097" t="s">
        <v>650</v>
      </c>
      <c r="E746" s="1079">
        <v>105000</v>
      </c>
      <c r="F746" s="1079">
        <v>9000</v>
      </c>
      <c r="G746" s="1079">
        <v>7491</v>
      </c>
      <c r="H746" s="1080">
        <f t="shared" si="163"/>
        <v>0.83233333333333337</v>
      </c>
    </row>
    <row r="747" spans="1:8" ht="17.100000000000001" customHeight="1">
      <c r="A747" s="1057"/>
      <c r="B747" s="2259"/>
      <c r="C747" s="1213"/>
      <c r="D747" s="1315"/>
      <c r="E747" s="1316"/>
      <c r="F747" s="1316"/>
      <c r="G747" s="1316"/>
      <c r="H747" s="1080"/>
    </row>
    <row r="748" spans="1:8" ht="17.100000000000001" customHeight="1">
      <c r="A748" s="1057"/>
      <c r="B748" s="2259"/>
      <c r="C748" s="2291" t="s">
        <v>614</v>
      </c>
      <c r="D748" s="2292"/>
      <c r="E748" s="1227">
        <f>SUM(E749:E752)</f>
        <v>6701375</v>
      </c>
      <c r="F748" s="1227">
        <f>SUM(F749:F752)</f>
        <v>2650000</v>
      </c>
      <c r="G748" s="1227">
        <f t="shared" ref="G748" si="168">SUM(G749:G752)</f>
        <v>49938</v>
      </c>
      <c r="H748" s="1080">
        <f t="shared" ref="H748:H811" si="169">G748/F748</f>
        <v>1.8844528301886793E-2</v>
      </c>
    </row>
    <row r="749" spans="1:8" ht="17.100000000000001" customHeight="1">
      <c r="A749" s="1057"/>
      <c r="B749" s="2259"/>
      <c r="C749" s="1096" t="s">
        <v>695</v>
      </c>
      <c r="D749" s="1097" t="s">
        <v>607</v>
      </c>
      <c r="E749" s="1079">
        <v>5098619</v>
      </c>
      <c r="F749" s="1079">
        <v>2201500</v>
      </c>
      <c r="G749" s="1079">
        <v>0</v>
      </c>
      <c r="H749" s="1080">
        <f t="shared" si="169"/>
        <v>0</v>
      </c>
    </row>
    <row r="750" spans="1:8" ht="17.100000000000001" customHeight="1">
      <c r="A750" s="1057"/>
      <c r="B750" s="2259"/>
      <c r="C750" s="1096" t="s">
        <v>98</v>
      </c>
      <c r="D750" s="1097" t="s">
        <v>607</v>
      </c>
      <c r="E750" s="1079">
        <v>902756</v>
      </c>
      <c r="F750" s="1079">
        <v>388500</v>
      </c>
      <c r="G750" s="1079">
        <v>0</v>
      </c>
      <c r="H750" s="1080">
        <f t="shared" si="169"/>
        <v>0</v>
      </c>
    </row>
    <row r="751" spans="1:8" ht="17.100000000000001" customHeight="1">
      <c r="A751" s="1057"/>
      <c r="B751" s="2259"/>
      <c r="C751" s="1207" t="s">
        <v>708</v>
      </c>
      <c r="D751" s="1236" t="s">
        <v>650</v>
      </c>
      <c r="E751" s="1079">
        <v>595000</v>
      </c>
      <c r="F751" s="1079">
        <v>51000</v>
      </c>
      <c r="G751" s="1079">
        <v>42447</v>
      </c>
      <c r="H751" s="1080">
        <f t="shared" si="169"/>
        <v>0.83229411764705885</v>
      </c>
    </row>
    <row r="752" spans="1:8" ht="17.100000000000001" customHeight="1" thickBot="1">
      <c r="A752" s="1057"/>
      <c r="B752" s="2259"/>
      <c r="C752" s="1087" t="s">
        <v>693</v>
      </c>
      <c r="D752" s="1088" t="s">
        <v>650</v>
      </c>
      <c r="E752" s="1079">
        <v>105000</v>
      </c>
      <c r="F752" s="1079">
        <v>9000</v>
      </c>
      <c r="G752" s="1079">
        <v>7491</v>
      </c>
      <c r="H752" s="1080">
        <f t="shared" si="169"/>
        <v>0.83233333333333337</v>
      </c>
    </row>
    <row r="753" spans="1:8" ht="17.100000000000001" customHeight="1" thickBot="1">
      <c r="A753" s="1057"/>
      <c r="B753" s="1144" t="s">
        <v>772</v>
      </c>
      <c r="C753" s="1145"/>
      <c r="D753" s="1146" t="s">
        <v>381</v>
      </c>
      <c r="E753" s="1147">
        <f t="shared" ref="E753:G754" si="170">E754</f>
        <v>20000</v>
      </c>
      <c r="F753" s="1147">
        <f t="shared" si="170"/>
        <v>16000</v>
      </c>
      <c r="G753" s="1147">
        <f t="shared" si="170"/>
        <v>8881</v>
      </c>
      <c r="H753" s="1148">
        <f t="shared" si="169"/>
        <v>0.55506250000000001</v>
      </c>
    </row>
    <row r="754" spans="1:8" ht="17.100000000000001" customHeight="1">
      <c r="A754" s="1057"/>
      <c r="B754" s="2258"/>
      <c r="C754" s="2112" t="s">
        <v>753</v>
      </c>
      <c r="D754" s="2112"/>
      <c r="E754" s="1063">
        <f t="shared" si="170"/>
        <v>20000</v>
      </c>
      <c r="F754" s="1063">
        <f t="shared" si="170"/>
        <v>16000</v>
      </c>
      <c r="G754" s="1063">
        <f t="shared" si="170"/>
        <v>8881</v>
      </c>
      <c r="H754" s="1064">
        <f t="shared" si="169"/>
        <v>0.55506250000000001</v>
      </c>
    </row>
    <row r="755" spans="1:8" ht="17.100000000000001" customHeight="1">
      <c r="A755" s="1057"/>
      <c r="B755" s="2258"/>
      <c r="C755" s="2276" t="s">
        <v>561</v>
      </c>
      <c r="D755" s="2276"/>
      <c r="E755" s="1079">
        <f t="shared" ref="E755:G755" si="171">E756+E761</f>
        <v>20000</v>
      </c>
      <c r="F755" s="1079">
        <f t="shared" si="171"/>
        <v>16000</v>
      </c>
      <c r="G755" s="1079">
        <f t="shared" si="171"/>
        <v>8881</v>
      </c>
      <c r="H755" s="1080">
        <f t="shared" si="169"/>
        <v>0.55506250000000001</v>
      </c>
    </row>
    <row r="756" spans="1:8" ht="17.100000000000001" customHeight="1">
      <c r="A756" s="1057"/>
      <c r="B756" s="2258"/>
      <c r="C756" s="2277" t="s">
        <v>562</v>
      </c>
      <c r="D756" s="2277"/>
      <c r="E756" s="1115">
        <f t="shared" ref="E756:G756" si="172">SUM(E757:E759)</f>
        <v>10000</v>
      </c>
      <c r="F756" s="1115">
        <f t="shared" si="172"/>
        <v>8000</v>
      </c>
      <c r="G756" s="1115">
        <f t="shared" si="172"/>
        <v>3237</v>
      </c>
      <c r="H756" s="1116">
        <f t="shared" si="169"/>
        <v>0.40462500000000001</v>
      </c>
    </row>
    <row r="757" spans="1:8" ht="17.100000000000001" customHeight="1">
      <c r="A757" s="1057"/>
      <c r="B757" s="2258"/>
      <c r="C757" s="1096" t="s">
        <v>146</v>
      </c>
      <c r="D757" s="1097" t="s">
        <v>566</v>
      </c>
      <c r="E757" s="1079">
        <v>700</v>
      </c>
      <c r="F757" s="1079">
        <v>700</v>
      </c>
      <c r="G757" s="1079">
        <v>177</v>
      </c>
      <c r="H757" s="1080">
        <f t="shared" si="169"/>
        <v>0.25285714285714284</v>
      </c>
    </row>
    <row r="758" spans="1:8" ht="17.100000000000001" customHeight="1">
      <c r="A758" s="1057"/>
      <c r="B758" s="2258"/>
      <c r="C758" s="1096" t="s">
        <v>147</v>
      </c>
      <c r="D758" s="1097" t="s">
        <v>567</v>
      </c>
      <c r="E758" s="1079">
        <v>140</v>
      </c>
      <c r="F758" s="1079">
        <v>140</v>
      </c>
      <c r="G758" s="1079">
        <v>0</v>
      </c>
      <c r="H758" s="1080">
        <f t="shared" si="169"/>
        <v>0</v>
      </c>
    </row>
    <row r="759" spans="1:8" ht="17.100000000000001" customHeight="1">
      <c r="A759" s="1057"/>
      <c r="B759" s="1069"/>
      <c r="C759" s="1096" t="s">
        <v>568</v>
      </c>
      <c r="D759" s="1097" t="s">
        <v>569</v>
      </c>
      <c r="E759" s="1079">
        <v>9160</v>
      </c>
      <c r="F759" s="1079">
        <v>7160</v>
      </c>
      <c r="G759" s="1079">
        <v>3060</v>
      </c>
      <c r="H759" s="1080">
        <f t="shared" si="169"/>
        <v>0.42737430167597767</v>
      </c>
    </row>
    <row r="760" spans="1:8" ht="17.100000000000001" customHeight="1">
      <c r="A760" s="1057"/>
      <c r="B760" s="1069"/>
      <c r="C760" s="1098"/>
      <c r="D760" s="1098"/>
      <c r="E760" s="1075"/>
      <c r="F760" s="1075"/>
      <c r="G760" s="1075"/>
      <c r="H760" s="1076"/>
    </row>
    <row r="761" spans="1:8" ht="17.100000000000001" customHeight="1">
      <c r="A761" s="1057"/>
      <c r="B761" s="1069"/>
      <c r="C761" s="2278" t="s">
        <v>570</v>
      </c>
      <c r="D761" s="2278"/>
      <c r="E761" s="1115">
        <f t="shared" ref="E761:G761" si="173">SUM(E762:E763)</f>
        <v>10000</v>
      </c>
      <c r="F761" s="1115">
        <f t="shared" si="173"/>
        <v>8000</v>
      </c>
      <c r="G761" s="1115">
        <f t="shared" si="173"/>
        <v>5644</v>
      </c>
      <c r="H761" s="1116">
        <f t="shared" si="169"/>
        <v>0.70550000000000002</v>
      </c>
    </row>
    <row r="762" spans="1:8" ht="17.100000000000001" customHeight="1">
      <c r="A762" s="1057"/>
      <c r="B762" s="1069"/>
      <c r="C762" s="1087" t="s">
        <v>143</v>
      </c>
      <c r="D762" s="1088" t="s">
        <v>573</v>
      </c>
      <c r="E762" s="1185">
        <v>1500</v>
      </c>
      <c r="F762" s="1185">
        <v>3500</v>
      </c>
      <c r="G762" s="1185">
        <v>3144</v>
      </c>
      <c r="H762" s="1186">
        <f t="shared" si="169"/>
        <v>0.89828571428571424</v>
      </c>
    </row>
    <row r="763" spans="1:8" ht="17.100000000000001" customHeight="1" thickBot="1">
      <c r="A763" s="1057"/>
      <c r="B763" s="1069"/>
      <c r="C763" s="1251" t="s">
        <v>25</v>
      </c>
      <c r="D763" s="1252" t="s">
        <v>581</v>
      </c>
      <c r="E763" s="1089">
        <v>8500</v>
      </c>
      <c r="F763" s="1089">
        <v>4500</v>
      </c>
      <c r="G763" s="1089">
        <v>2500</v>
      </c>
      <c r="H763" s="1090">
        <f t="shared" si="169"/>
        <v>0.55555555555555558</v>
      </c>
    </row>
    <row r="764" spans="1:8" ht="17.100000000000001" customHeight="1" thickBot="1">
      <c r="A764" s="1057"/>
      <c r="B764" s="1144" t="s">
        <v>83</v>
      </c>
      <c r="C764" s="1145"/>
      <c r="D764" s="1146" t="s">
        <v>382</v>
      </c>
      <c r="E764" s="1147">
        <f>E765+E815</f>
        <v>20442391</v>
      </c>
      <c r="F764" s="1147">
        <f>F765+F815</f>
        <v>21127450</v>
      </c>
      <c r="G764" s="1147">
        <f>G765+G815</f>
        <v>18697112</v>
      </c>
      <c r="H764" s="1148">
        <f t="shared" si="169"/>
        <v>0.88496775521892135</v>
      </c>
    </row>
    <row r="765" spans="1:8" ht="17.100000000000001" customHeight="1">
      <c r="A765" s="1057"/>
      <c r="B765" s="2256"/>
      <c r="C765" s="2112" t="s">
        <v>560</v>
      </c>
      <c r="D765" s="2112"/>
      <c r="E765" s="1063">
        <f>E766+E779+E783</f>
        <v>20027391</v>
      </c>
      <c r="F765" s="1063">
        <f t="shared" ref="F765:G765" si="174">F766+F779+F783</f>
        <v>20542497</v>
      </c>
      <c r="G765" s="1063">
        <f t="shared" si="174"/>
        <v>18514812</v>
      </c>
      <c r="H765" s="1064">
        <f t="shared" si="169"/>
        <v>0.90129315827574419</v>
      </c>
    </row>
    <row r="766" spans="1:8" ht="17.100000000000001" customHeight="1">
      <c r="A766" s="1057"/>
      <c r="B766" s="2256"/>
      <c r="C766" s="2276" t="s">
        <v>561</v>
      </c>
      <c r="D766" s="2276"/>
      <c r="E766" s="1079">
        <f>E767+E770</f>
        <v>13216716</v>
      </c>
      <c r="F766" s="1079">
        <f t="shared" ref="F766:G766" si="175">F767+F770</f>
        <v>13828178</v>
      </c>
      <c r="G766" s="1079">
        <f t="shared" si="175"/>
        <v>13409610</v>
      </c>
      <c r="H766" s="1080">
        <f t="shared" si="169"/>
        <v>0.96973079172107846</v>
      </c>
    </row>
    <row r="767" spans="1:8" ht="17.100000000000001" customHeight="1">
      <c r="A767" s="1057"/>
      <c r="B767" s="2256"/>
      <c r="C767" s="2277" t="s">
        <v>562</v>
      </c>
      <c r="D767" s="2277"/>
      <c r="E767" s="1115">
        <f>SUM(E768:E768)</f>
        <v>25000</v>
      </c>
      <c r="F767" s="1115">
        <f t="shared" ref="F767:G767" si="176">SUM(F768:F768)</f>
        <v>30000</v>
      </c>
      <c r="G767" s="1115">
        <f t="shared" si="176"/>
        <v>20502</v>
      </c>
      <c r="H767" s="1116">
        <f t="shared" si="169"/>
        <v>0.68340000000000001</v>
      </c>
    </row>
    <row r="768" spans="1:8" ht="17.100000000000001" customHeight="1">
      <c r="A768" s="1057"/>
      <c r="B768" s="2256"/>
      <c r="C768" s="1096" t="s">
        <v>568</v>
      </c>
      <c r="D768" s="1097" t="s">
        <v>569</v>
      </c>
      <c r="E768" s="1079">
        <f>20000+5000</f>
        <v>25000</v>
      </c>
      <c r="F768" s="1079">
        <v>30000</v>
      </c>
      <c r="G768" s="1079">
        <v>20502</v>
      </c>
      <c r="H768" s="1080">
        <f t="shared" si="169"/>
        <v>0.68340000000000001</v>
      </c>
    </row>
    <row r="769" spans="1:8" ht="17.100000000000001" customHeight="1">
      <c r="A769" s="1057"/>
      <c r="B769" s="2256"/>
      <c r="C769" s="1098"/>
      <c r="D769" s="1098"/>
      <c r="E769" s="1075"/>
      <c r="F769" s="1075"/>
      <c r="G769" s="1075"/>
      <c r="H769" s="1076"/>
    </row>
    <row r="770" spans="1:8" ht="17.100000000000001" customHeight="1">
      <c r="A770" s="1057"/>
      <c r="B770" s="2256"/>
      <c r="C770" s="2287" t="s">
        <v>570</v>
      </c>
      <c r="D770" s="2278"/>
      <c r="E770" s="1115">
        <f>SUM(E771:E777)</f>
        <v>13191716</v>
      </c>
      <c r="F770" s="1115">
        <f t="shared" ref="F770" si="177">SUM(F771:F777)</f>
        <v>13798178</v>
      </c>
      <c r="G770" s="1115">
        <f>SUM(G771:G777)</f>
        <v>13389108</v>
      </c>
      <c r="H770" s="1116">
        <f t="shared" si="169"/>
        <v>0.97035333215733266</v>
      </c>
    </row>
    <row r="771" spans="1:8" ht="17.100000000000001" customHeight="1">
      <c r="A771" s="1057"/>
      <c r="B771" s="2256"/>
      <c r="C771" s="1201" t="s">
        <v>163</v>
      </c>
      <c r="D771" s="1162" t="s">
        <v>631</v>
      </c>
      <c r="E771" s="1079">
        <f>2000+30000</f>
        <v>32000</v>
      </c>
      <c r="F771" s="1079">
        <v>87384</v>
      </c>
      <c r="G771" s="1079">
        <v>87339</v>
      </c>
      <c r="H771" s="1080">
        <f t="shared" si="169"/>
        <v>0.99948503158472946</v>
      </c>
    </row>
    <row r="772" spans="1:8" ht="17.100000000000001" customHeight="1">
      <c r="A772" s="1057"/>
      <c r="B772" s="2256"/>
      <c r="C772" s="1125" t="s">
        <v>143</v>
      </c>
      <c r="D772" s="1097" t="s">
        <v>573</v>
      </c>
      <c r="E772" s="1079">
        <f>295000+1000+5000+20000+89000</f>
        <v>410000</v>
      </c>
      <c r="F772" s="1079">
        <v>632916</v>
      </c>
      <c r="G772" s="1079">
        <v>536560</v>
      </c>
      <c r="H772" s="1080">
        <f t="shared" si="169"/>
        <v>0.84775862831718585</v>
      </c>
    </row>
    <row r="773" spans="1:8" ht="17.100000000000001" customHeight="1">
      <c r="A773" s="1057"/>
      <c r="B773" s="2256"/>
      <c r="C773" s="1096" t="s">
        <v>25</v>
      </c>
      <c r="D773" s="1097" t="s">
        <v>581</v>
      </c>
      <c r="E773" s="1079">
        <f>10034116+115000+63000+30000+490000+50000</f>
        <v>10782116</v>
      </c>
      <c r="F773" s="1079">
        <v>11063889</v>
      </c>
      <c r="G773" s="1079">
        <v>10781045</v>
      </c>
      <c r="H773" s="1080">
        <f t="shared" si="169"/>
        <v>0.97443539066597651</v>
      </c>
    </row>
    <row r="774" spans="1:8" ht="17.100000000000001" customHeight="1">
      <c r="A774" s="1057"/>
      <c r="B774" s="2256"/>
      <c r="C774" s="1096" t="s">
        <v>754</v>
      </c>
      <c r="D774" s="1097" t="s">
        <v>740</v>
      </c>
      <c r="E774" s="1079">
        <f>110000+25000</f>
        <v>135000</v>
      </c>
      <c r="F774" s="1079">
        <v>121389</v>
      </c>
      <c r="G774" s="1079">
        <v>99518</v>
      </c>
      <c r="H774" s="1080">
        <f t="shared" si="169"/>
        <v>0.81982716720625426</v>
      </c>
    </row>
    <row r="775" spans="1:8" ht="17.100000000000001" customHeight="1">
      <c r="A775" s="1057"/>
      <c r="B775" s="2256"/>
      <c r="C775" s="1125" t="s">
        <v>164</v>
      </c>
      <c r="D775" s="1126" t="s">
        <v>584</v>
      </c>
      <c r="E775" s="1079">
        <v>100000</v>
      </c>
      <c r="F775" s="1079">
        <v>160000</v>
      </c>
      <c r="G775" s="1079">
        <v>153873</v>
      </c>
      <c r="H775" s="1080">
        <f t="shared" si="169"/>
        <v>0.96170624999999998</v>
      </c>
    </row>
    <row r="776" spans="1:8" ht="17.100000000000001" customHeight="1">
      <c r="A776" s="1057"/>
      <c r="B776" s="2256"/>
      <c r="C776" s="1161" t="s">
        <v>701</v>
      </c>
      <c r="D776" s="1317" t="s">
        <v>702</v>
      </c>
      <c r="E776" s="1103">
        <v>7600</v>
      </c>
      <c r="F776" s="1103">
        <v>7600</v>
      </c>
      <c r="G776" s="1103">
        <v>5773</v>
      </c>
      <c r="H776" s="1104">
        <f t="shared" si="169"/>
        <v>0.75960526315789478</v>
      </c>
    </row>
    <row r="777" spans="1:8" ht="17.100000000000001" customHeight="1">
      <c r="A777" s="1057"/>
      <c r="B777" s="2256"/>
      <c r="C777" s="1210" t="s">
        <v>599</v>
      </c>
      <c r="D777" s="1234" t="s">
        <v>600</v>
      </c>
      <c r="E777" s="1103">
        <v>1725000</v>
      </c>
      <c r="F777" s="1103">
        <v>1725000</v>
      </c>
      <c r="G777" s="1103">
        <v>1725000</v>
      </c>
      <c r="H777" s="1104">
        <f t="shared" si="169"/>
        <v>1</v>
      </c>
    </row>
    <row r="778" spans="1:8" ht="17.100000000000001" customHeight="1">
      <c r="A778" s="1057"/>
      <c r="B778" s="2256"/>
      <c r="C778" s="1098"/>
      <c r="D778" s="1098"/>
      <c r="E778" s="1075"/>
      <c r="F778" s="1075"/>
      <c r="G778" s="1075"/>
      <c r="H778" s="1076"/>
    </row>
    <row r="779" spans="1:8" ht="17.100000000000001" customHeight="1">
      <c r="A779" s="1057"/>
      <c r="B779" s="2256"/>
      <c r="C779" s="2272" t="s">
        <v>647</v>
      </c>
      <c r="D779" s="2272"/>
      <c r="E779" s="1079">
        <f>E780+E781</f>
        <v>295610</v>
      </c>
      <c r="F779" s="1079">
        <f t="shared" ref="F779" si="178">F780+F781</f>
        <v>308597</v>
      </c>
      <c r="G779" s="1079">
        <f>G780+G781</f>
        <v>308597</v>
      </c>
      <c r="H779" s="1080">
        <f t="shared" si="169"/>
        <v>1</v>
      </c>
    </row>
    <row r="780" spans="1:8" ht="40.5" customHeight="1">
      <c r="A780" s="1057"/>
      <c r="B780" s="2256"/>
      <c r="C780" s="1096" t="s">
        <v>77</v>
      </c>
      <c r="D780" s="1097" t="s">
        <v>717</v>
      </c>
      <c r="E780" s="1079">
        <v>295610</v>
      </c>
      <c r="F780" s="1079">
        <v>298597</v>
      </c>
      <c r="G780" s="1079">
        <v>298597</v>
      </c>
      <c r="H780" s="1080">
        <f t="shared" si="169"/>
        <v>1</v>
      </c>
    </row>
    <row r="781" spans="1:8" ht="27.75" customHeight="1">
      <c r="A781" s="1057"/>
      <c r="B781" s="2256"/>
      <c r="C781" s="1210" t="s">
        <v>19</v>
      </c>
      <c r="D781" s="1234" t="s">
        <v>719</v>
      </c>
      <c r="E781" s="1103">
        <v>0</v>
      </c>
      <c r="F781" s="1103">
        <v>10000</v>
      </c>
      <c r="G781" s="1103">
        <v>10000</v>
      </c>
      <c r="H781" s="1104">
        <f t="shared" si="169"/>
        <v>1</v>
      </c>
    </row>
    <row r="782" spans="1:8">
      <c r="A782" s="1057"/>
      <c r="B782" s="2256"/>
      <c r="C782" s="1098"/>
      <c r="D782" s="1098"/>
      <c r="E782" s="1075"/>
      <c r="F782" s="1075"/>
      <c r="G782" s="1075"/>
      <c r="H782" s="1076"/>
    </row>
    <row r="783" spans="1:8" ht="15.75" customHeight="1">
      <c r="A783" s="1057"/>
      <c r="B783" s="2256"/>
      <c r="C783" s="2285" t="s">
        <v>616</v>
      </c>
      <c r="D783" s="2285"/>
      <c r="E783" s="1079">
        <f>SUM(E784:E813)</f>
        <v>6515065</v>
      </c>
      <c r="F783" s="1079">
        <f>SUM(F784:F813)</f>
        <v>6405722</v>
      </c>
      <c r="G783" s="1079">
        <f>SUM(G784:G813)</f>
        <v>4796605</v>
      </c>
      <c r="H783" s="1080">
        <f t="shared" si="169"/>
        <v>0.74880005719886067</v>
      </c>
    </row>
    <row r="784" spans="1:8" ht="16.5" customHeight="1">
      <c r="A784" s="1057"/>
      <c r="B784" s="2256"/>
      <c r="C784" s="1159" t="s">
        <v>667</v>
      </c>
      <c r="D784" s="1178" t="s">
        <v>613</v>
      </c>
      <c r="E784" s="1109">
        <v>0</v>
      </c>
      <c r="F784" s="1109">
        <v>152730</v>
      </c>
      <c r="G784" s="1109">
        <v>152730</v>
      </c>
      <c r="H784" s="1110">
        <f t="shared" si="169"/>
        <v>1</v>
      </c>
    </row>
    <row r="785" spans="1:8" ht="15.75" customHeight="1">
      <c r="A785" s="1057"/>
      <c r="B785" s="2256"/>
      <c r="C785" s="1318" t="s">
        <v>668</v>
      </c>
      <c r="D785" s="1097" t="s">
        <v>563</v>
      </c>
      <c r="E785" s="1302">
        <v>350000</v>
      </c>
      <c r="F785" s="1302">
        <v>374051</v>
      </c>
      <c r="G785" s="1302">
        <v>362777</v>
      </c>
      <c r="H785" s="1303">
        <f t="shared" si="169"/>
        <v>0.96985972501076056</v>
      </c>
    </row>
    <row r="786" spans="1:8" ht="15.75" customHeight="1">
      <c r="A786" s="1057"/>
      <c r="B786" s="2256"/>
      <c r="C786" s="1201" t="s">
        <v>620</v>
      </c>
      <c r="D786" s="1097" t="s">
        <v>563</v>
      </c>
      <c r="E786" s="1302">
        <v>149692</v>
      </c>
      <c r="F786" s="1302">
        <v>123952</v>
      </c>
      <c r="G786" s="1302">
        <v>87803</v>
      </c>
      <c r="H786" s="1303">
        <f t="shared" si="169"/>
        <v>0.70836291467664902</v>
      </c>
    </row>
    <row r="787" spans="1:8" ht="15.75" customHeight="1">
      <c r="A787" s="1057"/>
      <c r="B787" s="2256"/>
      <c r="C787" s="1201" t="s">
        <v>621</v>
      </c>
      <c r="D787" s="1097" t="s">
        <v>563</v>
      </c>
      <c r="E787" s="1302">
        <v>26417</v>
      </c>
      <c r="F787" s="1302">
        <v>20947</v>
      </c>
      <c r="G787" s="1302">
        <v>15073</v>
      </c>
      <c r="H787" s="1303">
        <f t="shared" si="169"/>
        <v>0.71957798252733085</v>
      </c>
    </row>
    <row r="788" spans="1:8" ht="15.75" customHeight="1">
      <c r="A788" s="1057"/>
      <c r="B788" s="2256"/>
      <c r="C788" s="1201" t="s">
        <v>669</v>
      </c>
      <c r="D788" s="1097" t="s">
        <v>566</v>
      </c>
      <c r="E788" s="1302">
        <v>60830</v>
      </c>
      <c r="F788" s="1302">
        <v>66044</v>
      </c>
      <c r="G788" s="1302">
        <v>62731</v>
      </c>
      <c r="H788" s="1303">
        <f t="shared" si="169"/>
        <v>0.94983647265459392</v>
      </c>
    </row>
    <row r="789" spans="1:8" ht="15.75" customHeight="1">
      <c r="A789" s="1057"/>
      <c r="B789" s="2256"/>
      <c r="C789" s="1201" t="s">
        <v>624</v>
      </c>
      <c r="D789" s="1097" t="s">
        <v>566</v>
      </c>
      <c r="E789" s="1302">
        <v>26016</v>
      </c>
      <c r="F789" s="1302">
        <v>21543</v>
      </c>
      <c r="G789" s="1302">
        <v>15260</v>
      </c>
      <c r="H789" s="1303">
        <f t="shared" si="169"/>
        <v>0.70835074037970569</v>
      </c>
    </row>
    <row r="790" spans="1:8" ht="15.75" customHeight="1">
      <c r="A790" s="1057"/>
      <c r="B790" s="2256"/>
      <c r="C790" s="1201" t="s">
        <v>625</v>
      </c>
      <c r="D790" s="1097" t="s">
        <v>566</v>
      </c>
      <c r="E790" s="1302">
        <v>4590</v>
      </c>
      <c r="F790" s="1302">
        <v>3639</v>
      </c>
      <c r="G790" s="1302">
        <v>2620</v>
      </c>
      <c r="H790" s="1303">
        <f t="shared" si="169"/>
        <v>0.71997801593844468</v>
      </c>
    </row>
    <row r="791" spans="1:8" ht="15.75" customHeight="1">
      <c r="A791" s="1057"/>
      <c r="B791" s="2256"/>
      <c r="C791" s="1201" t="s">
        <v>670</v>
      </c>
      <c r="D791" s="1097" t="s">
        <v>567</v>
      </c>
      <c r="E791" s="1302">
        <v>8575</v>
      </c>
      <c r="F791" s="1302">
        <v>9310</v>
      </c>
      <c r="G791" s="1302">
        <v>7989</v>
      </c>
      <c r="H791" s="1303">
        <f t="shared" si="169"/>
        <v>0.85810955961331903</v>
      </c>
    </row>
    <row r="792" spans="1:8" ht="15.75" customHeight="1">
      <c r="A792" s="1057"/>
      <c r="B792" s="2256"/>
      <c r="C792" s="1201" t="s">
        <v>626</v>
      </c>
      <c r="D792" s="1097" t="s">
        <v>567</v>
      </c>
      <c r="E792" s="1302">
        <v>3665</v>
      </c>
      <c r="F792" s="1302">
        <v>3035</v>
      </c>
      <c r="G792" s="1302">
        <v>2151</v>
      </c>
      <c r="H792" s="1303">
        <f t="shared" si="169"/>
        <v>0.70873146622734762</v>
      </c>
    </row>
    <row r="793" spans="1:8" ht="15.75" customHeight="1">
      <c r="A793" s="1057"/>
      <c r="B793" s="2256"/>
      <c r="C793" s="1201" t="s">
        <v>627</v>
      </c>
      <c r="D793" s="1097" t="s">
        <v>567</v>
      </c>
      <c r="E793" s="1302">
        <v>647</v>
      </c>
      <c r="F793" s="1302">
        <v>512</v>
      </c>
      <c r="G793" s="1302">
        <v>369</v>
      </c>
      <c r="H793" s="1303">
        <f t="shared" si="169"/>
        <v>0.720703125</v>
      </c>
    </row>
    <row r="794" spans="1:8" ht="15.75" customHeight="1">
      <c r="A794" s="1057"/>
      <c r="B794" s="2256"/>
      <c r="C794" s="1201" t="s">
        <v>738</v>
      </c>
      <c r="D794" s="1097" t="s">
        <v>569</v>
      </c>
      <c r="E794" s="1302">
        <v>20000</v>
      </c>
      <c r="F794" s="1302">
        <v>20000</v>
      </c>
      <c r="G794" s="1302">
        <v>0</v>
      </c>
      <c r="H794" s="1303">
        <f t="shared" si="169"/>
        <v>0</v>
      </c>
    </row>
    <row r="795" spans="1:8" ht="15.75" customHeight="1">
      <c r="A795" s="1057"/>
      <c r="B795" s="2256"/>
      <c r="C795" s="1201" t="s">
        <v>671</v>
      </c>
      <c r="D795" s="1097" t="s">
        <v>573</v>
      </c>
      <c r="E795" s="1302">
        <v>200000</v>
      </c>
      <c r="F795" s="1302">
        <v>170000</v>
      </c>
      <c r="G795" s="1302">
        <v>0</v>
      </c>
      <c r="H795" s="1303">
        <f t="shared" si="169"/>
        <v>0</v>
      </c>
    </row>
    <row r="796" spans="1:8" ht="15.75" customHeight="1">
      <c r="A796" s="1057"/>
      <c r="B796" s="2256"/>
      <c r="C796" s="1201" t="s">
        <v>633</v>
      </c>
      <c r="D796" s="1097" t="s">
        <v>573</v>
      </c>
      <c r="E796" s="1302">
        <v>313526</v>
      </c>
      <c r="F796" s="1302">
        <v>106650</v>
      </c>
      <c r="G796" s="1302">
        <v>89966</v>
      </c>
      <c r="H796" s="1303">
        <f t="shared" si="169"/>
        <v>0.84356305672761367</v>
      </c>
    </row>
    <row r="797" spans="1:8" ht="15.75" customHeight="1">
      <c r="A797" s="1057"/>
      <c r="B797" s="2256"/>
      <c r="C797" s="1201" t="s">
        <v>634</v>
      </c>
      <c r="D797" s="1097" t="s">
        <v>573</v>
      </c>
      <c r="E797" s="1302">
        <v>55329</v>
      </c>
      <c r="F797" s="1302">
        <v>18684</v>
      </c>
      <c r="G797" s="1302">
        <v>15802</v>
      </c>
      <c r="H797" s="1303">
        <f t="shared" si="169"/>
        <v>0.84575037465210878</v>
      </c>
    </row>
    <row r="798" spans="1:8" ht="15.75" customHeight="1">
      <c r="A798" s="1057"/>
      <c r="B798" s="2256"/>
      <c r="C798" s="1201" t="s">
        <v>25</v>
      </c>
      <c r="D798" s="1097" t="s">
        <v>581</v>
      </c>
      <c r="E798" s="1319">
        <v>0</v>
      </c>
      <c r="F798" s="1319">
        <v>9222</v>
      </c>
      <c r="G798" s="1319">
        <v>9220</v>
      </c>
      <c r="H798" s="1320">
        <f t="shared" si="169"/>
        <v>0.99978312730427243</v>
      </c>
    </row>
    <row r="799" spans="1:8" ht="15.75" customHeight="1">
      <c r="A799" s="1057"/>
      <c r="B799" s="2256"/>
      <c r="C799" s="1256" t="s">
        <v>672</v>
      </c>
      <c r="D799" s="1097" t="s">
        <v>581</v>
      </c>
      <c r="E799" s="1302">
        <v>4510595</v>
      </c>
      <c r="F799" s="1302">
        <v>4510595</v>
      </c>
      <c r="G799" s="1302">
        <v>3335215</v>
      </c>
      <c r="H799" s="1303">
        <f t="shared" si="169"/>
        <v>0.73941797035646073</v>
      </c>
    </row>
    <row r="800" spans="1:8" ht="15.75" customHeight="1">
      <c r="A800" s="1057"/>
      <c r="B800" s="2256"/>
      <c r="C800" s="1201" t="s">
        <v>637</v>
      </c>
      <c r="D800" s="1097" t="s">
        <v>581</v>
      </c>
      <c r="E800" s="1302">
        <v>537522</v>
      </c>
      <c r="F800" s="1302">
        <v>546200</v>
      </c>
      <c r="G800" s="1302">
        <v>488013</v>
      </c>
      <c r="H800" s="1303">
        <f t="shared" si="169"/>
        <v>0.89346942511900407</v>
      </c>
    </row>
    <row r="801" spans="1:8" ht="15.75" customHeight="1">
      <c r="A801" s="1057"/>
      <c r="B801" s="2256"/>
      <c r="C801" s="1201" t="s">
        <v>638</v>
      </c>
      <c r="D801" s="1097" t="s">
        <v>581</v>
      </c>
      <c r="E801" s="1302">
        <v>94861</v>
      </c>
      <c r="F801" s="1302">
        <v>93574</v>
      </c>
      <c r="G801" s="1302">
        <v>85196</v>
      </c>
      <c r="H801" s="1303">
        <f t="shared" si="169"/>
        <v>0.91046658259773017</v>
      </c>
    </row>
    <row r="802" spans="1:8" ht="15.75" customHeight="1">
      <c r="A802" s="1057"/>
      <c r="B802" s="2256"/>
      <c r="C802" s="1201" t="s">
        <v>739</v>
      </c>
      <c r="D802" s="1097" t="s">
        <v>740</v>
      </c>
      <c r="E802" s="1302">
        <v>20000</v>
      </c>
      <c r="F802" s="1302">
        <v>20000</v>
      </c>
      <c r="G802" s="1302">
        <v>0</v>
      </c>
      <c r="H802" s="1303">
        <f t="shared" si="169"/>
        <v>0</v>
      </c>
    </row>
    <row r="803" spans="1:8" ht="15.75" customHeight="1">
      <c r="A803" s="1057"/>
      <c r="B803" s="2256"/>
      <c r="C803" s="1201" t="s">
        <v>741</v>
      </c>
      <c r="D803" s="1097" t="s">
        <v>740</v>
      </c>
      <c r="E803" s="1319">
        <v>0</v>
      </c>
      <c r="F803" s="1319">
        <v>851</v>
      </c>
      <c r="G803" s="1319">
        <v>0</v>
      </c>
      <c r="H803" s="1320">
        <f t="shared" si="169"/>
        <v>0</v>
      </c>
    </row>
    <row r="804" spans="1:8" ht="15.75" customHeight="1">
      <c r="A804" s="1057"/>
      <c r="B804" s="2256"/>
      <c r="C804" s="1256" t="s">
        <v>742</v>
      </c>
      <c r="D804" s="1097" t="s">
        <v>740</v>
      </c>
      <c r="E804" s="1319">
        <v>0</v>
      </c>
      <c r="F804" s="1319">
        <v>95</v>
      </c>
      <c r="G804" s="1319">
        <v>0</v>
      </c>
      <c r="H804" s="1320">
        <f t="shared" si="169"/>
        <v>0</v>
      </c>
    </row>
    <row r="805" spans="1:8" ht="15.75" customHeight="1">
      <c r="A805" s="1057"/>
      <c r="B805" s="2256"/>
      <c r="C805" s="1256" t="s">
        <v>743</v>
      </c>
      <c r="D805" s="1126" t="s">
        <v>584</v>
      </c>
      <c r="E805" s="1319">
        <v>20000</v>
      </c>
      <c r="F805" s="1319">
        <v>20000</v>
      </c>
      <c r="G805" s="1319">
        <v>0</v>
      </c>
      <c r="H805" s="1320">
        <f t="shared" si="169"/>
        <v>0</v>
      </c>
    </row>
    <row r="806" spans="1:8" ht="15.75" customHeight="1">
      <c r="A806" s="1057"/>
      <c r="B806" s="2256"/>
      <c r="C806" s="1256" t="s">
        <v>673</v>
      </c>
      <c r="D806" s="1097" t="s">
        <v>588</v>
      </c>
      <c r="E806" s="1302">
        <v>10000</v>
      </c>
      <c r="F806" s="1302">
        <v>10000</v>
      </c>
      <c r="G806" s="1302">
        <v>2573</v>
      </c>
      <c r="H806" s="1303">
        <f t="shared" si="169"/>
        <v>0.25729999999999997</v>
      </c>
    </row>
    <row r="807" spans="1:8" ht="15.75" customHeight="1">
      <c r="A807" s="1057"/>
      <c r="B807" s="2256"/>
      <c r="C807" s="1256" t="s">
        <v>641</v>
      </c>
      <c r="D807" s="1097" t="s">
        <v>588</v>
      </c>
      <c r="E807" s="1302">
        <v>680</v>
      </c>
      <c r="F807" s="1302">
        <v>0</v>
      </c>
      <c r="G807" s="1302">
        <v>0</v>
      </c>
      <c r="H807" s="1303"/>
    </row>
    <row r="808" spans="1:8" ht="15.75" customHeight="1">
      <c r="A808" s="1057"/>
      <c r="B808" s="2256"/>
      <c r="C808" s="1256" t="s">
        <v>642</v>
      </c>
      <c r="D808" s="1097" t="s">
        <v>588</v>
      </c>
      <c r="E808" s="1302">
        <v>120</v>
      </c>
      <c r="F808" s="1302">
        <v>0</v>
      </c>
      <c r="G808" s="1302">
        <v>0</v>
      </c>
      <c r="H808" s="1303"/>
    </row>
    <row r="809" spans="1:8" ht="15.75" customHeight="1">
      <c r="A809" s="1057"/>
      <c r="B809" s="2256"/>
      <c r="C809" s="1256" t="s">
        <v>701</v>
      </c>
      <c r="D809" s="1321" t="s">
        <v>702</v>
      </c>
      <c r="E809" s="1302">
        <v>0</v>
      </c>
      <c r="F809" s="1302">
        <v>240</v>
      </c>
      <c r="G809" s="1302">
        <v>240</v>
      </c>
      <c r="H809" s="1303">
        <f t="shared" si="169"/>
        <v>1</v>
      </c>
    </row>
    <row r="810" spans="1:8" ht="15.75" customHeight="1">
      <c r="A810" s="1057"/>
      <c r="B810" s="2256"/>
      <c r="C810" s="1256" t="s">
        <v>744</v>
      </c>
      <c r="D810" s="1321" t="s">
        <v>702</v>
      </c>
      <c r="E810" s="1302">
        <v>70000</v>
      </c>
      <c r="F810" s="1302">
        <v>70000</v>
      </c>
      <c r="G810" s="1302">
        <v>60337</v>
      </c>
      <c r="H810" s="1303">
        <f t="shared" si="169"/>
        <v>0.86195714285714287</v>
      </c>
    </row>
    <row r="811" spans="1:8" ht="15.75" customHeight="1">
      <c r="A811" s="1057"/>
      <c r="B811" s="2256"/>
      <c r="C811" s="1256" t="s">
        <v>745</v>
      </c>
      <c r="D811" s="1321" t="s">
        <v>702</v>
      </c>
      <c r="E811" s="1302">
        <v>1700</v>
      </c>
      <c r="F811" s="1302">
        <v>3363</v>
      </c>
      <c r="G811" s="1302">
        <v>459</v>
      </c>
      <c r="H811" s="1303">
        <f t="shared" si="169"/>
        <v>0.13648528099910795</v>
      </c>
    </row>
    <row r="812" spans="1:8" ht="15.75" customHeight="1">
      <c r="A812" s="1057"/>
      <c r="B812" s="2256"/>
      <c r="C812" s="1256" t="s">
        <v>746</v>
      </c>
      <c r="D812" s="1321" t="s">
        <v>702</v>
      </c>
      <c r="E812" s="1302">
        <v>300</v>
      </c>
      <c r="F812" s="1302">
        <v>485</v>
      </c>
      <c r="G812" s="1302">
        <v>81</v>
      </c>
      <c r="H812" s="1303">
        <f t="shared" ref="H812:H875" si="179">G812/F812</f>
        <v>0.1670103092783505</v>
      </c>
    </row>
    <row r="813" spans="1:8" ht="15.75" customHeight="1">
      <c r="A813" s="1057"/>
      <c r="B813" s="2256"/>
      <c r="C813" s="1256" t="s">
        <v>674</v>
      </c>
      <c r="D813" s="1321" t="s">
        <v>773</v>
      </c>
      <c r="E813" s="1302">
        <v>30000</v>
      </c>
      <c r="F813" s="1302">
        <v>30000</v>
      </c>
      <c r="G813" s="1302">
        <v>0</v>
      </c>
      <c r="H813" s="1303">
        <f t="shared" si="179"/>
        <v>0</v>
      </c>
    </row>
    <row r="814" spans="1:8">
      <c r="A814" s="1057"/>
      <c r="B814" s="2256"/>
      <c r="C814" s="1194"/>
      <c r="D814" s="1194"/>
      <c r="E814" s="1231"/>
      <c r="F814" s="1231"/>
      <c r="G814" s="1231"/>
      <c r="H814" s="1232"/>
    </row>
    <row r="815" spans="1:8" ht="17.100000000000001" customHeight="1">
      <c r="A815" s="1057"/>
      <c r="B815" s="2256"/>
      <c r="C815" s="2217" t="s">
        <v>605</v>
      </c>
      <c r="D815" s="2217"/>
      <c r="E815" s="1300">
        <f t="shared" ref="E815:G815" si="180">E816</f>
        <v>415000</v>
      </c>
      <c r="F815" s="1300">
        <f t="shared" si="180"/>
        <v>584953</v>
      </c>
      <c r="G815" s="1300">
        <f t="shared" si="180"/>
        <v>182300</v>
      </c>
      <c r="H815" s="1301">
        <f t="shared" si="179"/>
        <v>0.31164897008819514</v>
      </c>
    </row>
    <row r="816" spans="1:8" ht="17.100000000000001" customHeight="1">
      <c r="A816" s="1057"/>
      <c r="B816" s="2256"/>
      <c r="C816" s="2282" t="s">
        <v>606</v>
      </c>
      <c r="D816" s="2247"/>
      <c r="E816" s="1302">
        <f>SUM(E817:E821)</f>
        <v>415000</v>
      </c>
      <c r="F816" s="1302">
        <f t="shared" ref="F816:G816" si="181">SUM(F817:F821)</f>
        <v>584953</v>
      </c>
      <c r="G816" s="1302">
        <f t="shared" si="181"/>
        <v>182300</v>
      </c>
      <c r="H816" s="1303">
        <f t="shared" si="179"/>
        <v>0.31164897008819514</v>
      </c>
    </row>
    <row r="817" spans="1:8" ht="17.100000000000001" customHeight="1">
      <c r="A817" s="1057"/>
      <c r="B817" s="2256"/>
      <c r="C817" s="1096" t="s">
        <v>144</v>
      </c>
      <c r="D817" s="1097" t="s">
        <v>650</v>
      </c>
      <c r="E817" s="1302">
        <v>200000</v>
      </c>
      <c r="F817" s="1302">
        <v>199953</v>
      </c>
      <c r="G817" s="1302">
        <v>0</v>
      </c>
      <c r="H817" s="1303">
        <f t="shared" si="179"/>
        <v>0</v>
      </c>
    </row>
    <row r="818" spans="1:8" ht="17.100000000000001" customHeight="1">
      <c r="A818" s="1057"/>
      <c r="B818" s="1069"/>
      <c r="C818" s="1096" t="s">
        <v>675</v>
      </c>
      <c r="D818" s="1097" t="s">
        <v>650</v>
      </c>
      <c r="E818" s="1302">
        <v>200000</v>
      </c>
      <c r="F818" s="1302">
        <v>200000</v>
      </c>
      <c r="G818" s="1302">
        <v>0</v>
      </c>
      <c r="H818" s="1303">
        <f t="shared" si="179"/>
        <v>0</v>
      </c>
    </row>
    <row r="819" spans="1:8" ht="17.100000000000001" customHeight="1">
      <c r="A819" s="1057"/>
      <c r="B819" s="1069"/>
      <c r="C819" s="1096" t="s">
        <v>708</v>
      </c>
      <c r="D819" s="1097" t="s">
        <v>650</v>
      </c>
      <c r="E819" s="1302">
        <v>12750</v>
      </c>
      <c r="F819" s="1302">
        <v>12750</v>
      </c>
      <c r="G819" s="1302">
        <v>10455</v>
      </c>
      <c r="H819" s="1303">
        <f t="shared" si="179"/>
        <v>0.82</v>
      </c>
    </row>
    <row r="820" spans="1:8" ht="17.100000000000001" customHeight="1">
      <c r="A820" s="1057"/>
      <c r="B820" s="1069"/>
      <c r="C820" s="1096" t="s">
        <v>693</v>
      </c>
      <c r="D820" s="1097" t="s">
        <v>650</v>
      </c>
      <c r="E820" s="1302">
        <v>2250</v>
      </c>
      <c r="F820" s="1302">
        <v>2250</v>
      </c>
      <c r="G820" s="1302">
        <v>1845</v>
      </c>
      <c r="H820" s="1303">
        <f t="shared" si="179"/>
        <v>0.82</v>
      </c>
    </row>
    <row r="821" spans="1:8" ht="17.100000000000001" customHeight="1">
      <c r="A821" s="1057"/>
      <c r="B821" s="1069"/>
      <c r="C821" s="1096" t="s">
        <v>683</v>
      </c>
      <c r="D821" s="1097" t="s">
        <v>774</v>
      </c>
      <c r="E821" s="1319">
        <v>0</v>
      </c>
      <c r="F821" s="1319">
        <v>170000</v>
      </c>
      <c r="G821" s="1319">
        <v>170000</v>
      </c>
      <c r="H821" s="1320">
        <f t="shared" si="179"/>
        <v>1</v>
      </c>
    </row>
    <row r="822" spans="1:8" ht="17.100000000000001" customHeight="1">
      <c r="A822" s="1057"/>
      <c r="B822" s="1069"/>
      <c r="C822" s="1096"/>
      <c r="D822" s="1097"/>
      <c r="E822" s="1302"/>
      <c r="F822" s="1302"/>
      <c r="G822" s="1302"/>
      <c r="H822" s="1303"/>
    </row>
    <row r="823" spans="1:8" ht="17.100000000000001" customHeight="1">
      <c r="A823" s="1057"/>
      <c r="B823" s="1069"/>
      <c r="C823" s="2278" t="s">
        <v>614</v>
      </c>
      <c r="D823" s="2286"/>
      <c r="E823" s="1115">
        <f>SUM(E824:E827)</f>
        <v>215000</v>
      </c>
      <c r="F823" s="1115">
        <f t="shared" ref="F823:G823" si="182">SUM(F824:F827)</f>
        <v>385000</v>
      </c>
      <c r="G823" s="1115">
        <f t="shared" si="182"/>
        <v>182300</v>
      </c>
      <c r="H823" s="1303">
        <f t="shared" si="179"/>
        <v>0.47350649350649349</v>
      </c>
    </row>
    <row r="824" spans="1:8" ht="17.100000000000001" customHeight="1">
      <c r="A824" s="1057"/>
      <c r="B824" s="1069"/>
      <c r="C824" s="1087" t="s">
        <v>675</v>
      </c>
      <c r="D824" s="1088" t="s">
        <v>607</v>
      </c>
      <c r="E824" s="1185">
        <v>200000</v>
      </c>
      <c r="F824" s="1185">
        <v>200000</v>
      </c>
      <c r="G824" s="1185">
        <v>0</v>
      </c>
      <c r="H824" s="1303">
        <f t="shared" si="179"/>
        <v>0</v>
      </c>
    </row>
    <row r="825" spans="1:8" ht="17.100000000000001" customHeight="1">
      <c r="A825" s="1057"/>
      <c r="B825" s="1069"/>
      <c r="C825" s="1096" t="s">
        <v>708</v>
      </c>
      <c r="D825" s="1097" t="s">
        <v>650</v>
      </c>
      <c r="E825" s="1302">
        <v>12750</v>
      </c>
      <c r="F825" s="1302">
        <v>12750</v>
      </c>
      <c r="G825" s="1302">
        <v>10455</v>
      </c>
      <c r="H825" s="1303">
        <f t="shared" si="179"/>
        <v>0.82</v>
      </c>
    </row>
    <row r="826" spans="1:8" ht="17.100000000000001" customHeight="1">
      <c r="A826" s="1057"/>
      <c r="B826" s="1069"/>
      <c r="C826" s="1087" t="s">
        <v>693</v>
      </c>
      <c r="D826" s="1088" t="s">
        <v>650</v>
      </c>
      <c r="E826" s="1310">
        <v>2250</v>
      </c>
      <c r="F826" s="1310">
        <v>2250</v>
      </c>
      <c r="G826" s="1310">
        <v>1845</v>
      </c>
      <c r="H826" s="1303">
        <f t="shared" si="179"/>
        <v>0.82</v>
      </c>
    </row>
    <row r="827" spans="1:8" ht="17.100000000000001" customHeight="1" thickBot="1">
      <c r="A827" s="1057"/>
      <c r="B827" s="1069"/>
      <c r="C827" s="1166" t="s">
        <v>683</v>
      </c>
      <c r="D827" s="1167" t="s">
        <v>774</v>
      </c>
      <c r="E827" s="1322">
        <v>0</v>
      </c>
      <c r="F827" s="1322">
        <v>170000</v>
      </c>
      <c r="G827" s="1322">
        <v>170000</v>
      </c>
      <c r="H827" s="1320">
        <f t="shared" si="179"/>
        <v>1</v>
      </c>
    </row>
    <row r="828" spans="1:8" ht="17.100000000000001" customHeight="1" thickBot="1">
      <c r="A828" s="1057"/>
      <c r="B828" s="1144" t="s">
        <v>775</v>
      </c>
      <c r="C828" s="1145"/>
      <c r="D828" s="1146" t="s">
        <v>393</v>
      </c>
      <c r="E828" s="1323">
        <f>E829+E841</f>
        <v>0</v>
      </c>
      <c r="F828" s="1323">
        <f>F829+F841</f>
        <v>337345</v>
      </c>
      <c r="G828" s="1323">
        <f t="shared" ref="G828" si="183">G829+G841</f>
        <v>325022</v>
      </c>
      <c r="H828" s="1324">
        <f t="shared" si="179"/>
        <v>0.96347063095643926</v>
      </c>
    </row>
    <row r="829" spans="1:8" ht="17.100000000000001" customHeight="1">
      <c r="A829" s="1057"/>
      <c r="B829" s="2258"/>
      <c r="C829" s="2112" t="s">
        <v>560</v>
      </c>
      <c r="D829" s="2112"/>
      <c r="E829" s="1307">
        <f>E830</f>
        <v>0</v>
      </c>
      <c r="F829" s="1307">
        <f>F830</f>
        <v>150485</v>
      </c>
      <c r="G829" s="1307">
        <f t="shared" ref="G829" si="184">G830</f>
        <v>138162</v>
      </c>
      <c r="H829" s="1325">
        <f t="shared" si="179"/>
        <v>0.91811143967837328</v>
      </c>
    </row>
    <row r="830" spans="1:8" ht="17.100000000000001" customHeight="1">
      <c r="A830" s="1057"/>
      <c r="B830" s="2258"/>
      <c r="C830" s="2276" t="s">
        <v>561</v>
      </c>
      <c r="D830" s="2276"/>
      <c r="E830" s="1310">
        <f>E831+E834</f>
        <v>0</v>
      </c>
      <c r="F830" s="1310">
        <f t="shared" ref="F830:G830" si="185">F831+F834</f>
        <v>150485</v>
      </c>
      <c r="G830" s="1310">
        <f t="shared" si="185"/>
        <v>138162</v>
      </c>
      <c r="H830" s="1311">
        <f t="shared" si="179"/>
        <v>0.91811143967837328</v>
      </c>
    </row>
    <row r="831" spans="1:8" ht="17.100000000000001" customHeight="1">
      <c r="A831" s="1057"/>
      <c r="B831" s="2258"/>
      <c r="C831" s="2277" t="s">
        <v>562</v>
      </c>
      <c r="D831" s="2277"/>
      <c r="E831" s="1310">
        <f>E832</f>
        <v>0</v>
      </c>
      <c r="F831" s="1310">
        <f t="shared" ref="F831:G831" si="186">F832</f>
        <v>25880</v>
      </c>
      <c r="G831" s="1310">
        <f t="shared" si="186"/>
        <v>18350</v>
      </c>
      <c r="H831" s="1311">
        <f t="shared" si="179"/>
        <v>0.70904173106646062</v>
      </c>
    </row>
    <row r="832" spans="1:8" ht="17.100000000000001" customHeight="1">
      <c r="A832" s="1057"/>
      <c r="B832" s="2258"/>
      <c r="C832" s="1096" t="s">
        <v>568</v>
      </c>
      <c r="D832" s="1097" t="s">
        <v>569</v>
      </c>
      <c r="E832" s="1310">
        <v>0</v>
      </c>
      <c r="F832" s="1310">
        <v>25880</v>
      </c>
      <c r="G832" s="1310">
        <v>18350</v>
      </c>
      <c r="H832" s="1311">
        <f t="shared" si="179"/>
        <v>0.70904173106646062</v>
      </c>
    </row>
    <row r="833" spans="1:8" ht="17.100000000000001" customHeight="1">
      <c r="A833" s="1057"/>
      <c r="B833" s="2258"/>
      <c r="C833" s="1178"/>
      <c r="D833" s="1178"/>
      <c r="E833" s="1319"/>
      <c r="F833" s="1319"/>
      <c r="G833" s="1319"/>
      <c r="H833" s="1320"/>
    </row>
    <row r="834" spans="1:8" ht="17.100000000000001" customHeight="1">
      <c r="A834" s="1057"/>
      <c r="B834" s="2258"/>
      <c r="C834" s="2278" t="s">
        <v>570</v>
      </c>
      <c r="D834" s="2278"/>
      <c r="E834" s="1310">
        <f>SUM(E835:E839)</f>
        <v>0</v>
      </c>
      <c r="F834" s="1310">
        <f>SUM(F835:F839)</f>
        <v>124605</v>
      </c>
      <c r="G834" s="1310">
        <f>SUM(G835:G839)</f>
        <v>119812</v>
      </c>
      <c r="H834" s="1311">
        <f t="shared" si="179"/>
        <v>0.96153444885839257</v>
      </c>
    </row>
    <row r="835" spans="1:8" ht="17.100000000000001" customHeight="1">
      <c r="A835" s="1057"/>
      <c r="B835" s="2258"/>
      <c r="C835" s="1096" t="s">
        <v>143</v>
      </c>
      <c r="D835" s="1097" t="s">
        <v>573</v>
      </c>
      <c r="E835" s="1310">
        <v>0</v>
      </c>
      <c r="F835" s="1310">
        <v>25025</v>
      </c>
      <c r="G835" s="1310">
        <v>23971</v>
      </c>
      <c r="H835" s="1311">
        <f t="shared" si="179"/>
        <v>0.95788211788211786</v>
      </c>
    </row>
    <row r="836" spans="1:8" ht="17.100000000000001" customHeight="1">
      <c r="A836" s="1057"/>
      <c r="B836" s="2258"/>
      <c r="C836" s="1096" t="s">
        <v>25</v>
      </c>
      <c r="D836" s="1097" t="s">
        <v>581</v>
      </c>
      <c r="E836" s="1310">
        <v>0</v>
      </c>
      <c r="F836" s="1310">
        <v>96280</v>
      </c>
      <c r="G836" s="1310">
        <v>92909</v>
      </c>
      <c r="H836" s="1311">
        <f t="shared" si="179"/>
        <v>0.96498753635230583</v>
      </c>
    </row>
    <row r="837" spans="1:8" ht="17.100000000000001" customHeight="1">
      <c r="A837" s="1057"/>
      <c r="B837" s="2258"/>
      <c r="C837" s="1087" t="s">
        <v>701</v>
      </c>
      <c r="D837" s="1088" t="s">
        <v>702</v>
      </c>
      <c r="E837" s="1310">
        <v>0</v>
      </c>
      <c r="F837" s="1310">
        <v>500</v>
      </c>
      <c r="G837" s="1310">
        <v>418</v>
      </c>
      <c r="H837" s="1311">
        <f t="shared" si="179"/>
        <v>0.83599999999999997</v>
      </c>
    </row>
    <row r="838" spans="1:8" ht="17.100000000000001" customHeight="1">
      <c r="A838" s="1057"/>
      <c r="B838" s="2258"/>
      <c r="C838" s="1087" t="s">
        <v>589</v>
      </c>
      <c r="D838" s="1088" t="s">
        <v>590</v>
      </c>
      <c r="E838" s="1310">
        <v>0</v>
      </c>
      <c r="F838" s="1310">
        <v>2400</v>
      </c>
      <c r="G838" s="1310">
        <v>2244</v>
      </c>
      <c r="H838" s="1311">
        <f t="shared" si="179"/>
        <v>0.93500000000000005</v>
      </c>
    </row>
    <row r="839" spans="1:8" ht="17.100000000000001" customHeight="1">
      <c r="A839" s="1057"/>
      <c r="B839" s="2258"/>
      <c r="C839" s="1134" t="s">
        <v>776</v>
      </c>
      <c r="D839" s="1135" t="s">
        <v>777</v>
      </c>
      <c r="E839" s="1310">
        <v>0</v>
      </c>
      <c r="F839" s="1310">
        <v>400</v>
      </c>
      <c r="G839" s="1310">
        <v>270</v>
      </c>
      <c r="H839" s="1311">
        <f t="shared" si="179"/>
        <v>0.67500000000000004</v>
      </c>
    </row>
    <row r="840" spans="1:8" ht="17.100000000000001" customHeight="1">
      <c r="A840" s="1057"/>
      <c r="B840" s="1093"/>
      <c r="C840" s="1266"/>
      <c r="D840" s="1272"/>
      <c r="E840" s="1310"/>
      <c r="F840" s="1310"/>
      <c r="G840" s="1310"/>
      <c r="H840" s="1311"/>
    </row>
    <row r="841" spans="1:8" ht="17.100000000000001" customHeight="1">
      <c r="A841" s="1057"/>
      <c r="B841" s="1093"/>
      <c r="C841" s="2281" t="s">
        <v>605</v>
      </c>
      <c r="D841" s="2281"/>
      <c r="E841" s="1319">
        <f>E842</f>
        <v>0</v>
      </c>
      <c r="F841" s="1319">
        <f t="shared" ref="F841:G842" si="187">F842</f>
        <v>186860</v>
      </c>
      <c r="G841" s="1319">
        <f t="shared" si="187"/>
        <v>186860</v>
      </c>
      <c r="H841" s="1320">
        <f t="shared" si="179"/>
        <v>1</v>
      </c>
    </row>
    <row r="842" spans="1:8" ht="17.100000000000001" customHeight="1">
      <c r="A842" s="1057"/>
      <c r="B842" s="1093"/>
      <c r="C842" s="2282" t="s">
        <v>606</v>
      </c>
      <c r="D842" s="2283"/>
      <c r="E842" s="1326">
        <f>E843</f>
        <v>0</v>
      </c>
      <c r="F842" s="1326">
        <f t="shared" si="187"/>
        <v>186860</v>
      </c>
      <c r="G842" s="1326">
        <f t="shared" si="187"/>
        <v>186860</v>
      </c>
      <c r="H842" s="1327">
        <f t="shared" si="179"/>
        <v>1</v>
      </c>
    </row>
    <row r="843" spans="1:8" ht="17.100000000000001" customHeight="1" thickBot="1">
      <c r="A843" s="1057"/>
      <c r="B843" s="1093"/>
      <c r="C843" s="1328" t="s">
        <v>144</v>
      </c>
      <c r="D843" s="1329" t="s">
        <v>650</v>
      </c>
      <c r="E843" s="1322">
        <v>0</v>
      </c>
      <c r="F843" s="1322">
        <v>186860</v>
      </c>
      <c r="G843" s="1322">
        <v>186860</v>
      </c>
      <c r="H843" s="1330">
        <f t="shared" si="179"/>
        <v>1</v>
      </c>
    </row>
    <row r="844" spans="1:8" ht="15" customHeight="1" thickBot="1">
      <c r="A844" s="1057"/>
      <c r="B844" s="1144" t="s">
        <v>778</v>
      </c>
      <c r="C844" s="1145"/>
      <c r="D844" s="1146" t="s">
        <v>396</v>
      </c>
      <c r="E844" s="1331">
        <f>E845</f>
        <v>200000</v>
      </c>
      <c r="F844" s="1331">
        <f t="shared" ref="F844:G844" si="188">F845</f>
        <v>200000</v>
      </c>
      <c r="G844" s="1331">
        <f t="shared" si="188"/>
        <v>197139</v>
      </c>
      <c r="H844" s="1332">
        <f t="shared" si="179"/>
        <v>0.98569499999999999</v>
      </c>
    </row>
    <row r="845" spans="1:8" ht="15.75" customHeight="1">
      <c r="A845" s="1057"/>
      <c r="B845" s="2155"/>
      <c r="C845" s="2157" t="s">
        <v>560</v>
      </c>
      <c r="D845" s="2157"/>
      <c r="E845" s="1333">
        <f>E846+E859</f>
        <v>200000</v>
      </c>
      <c r="F845" s="1333">
        <f t="shared" ref="F845:G845" si="189">F846+F859</f>
        <v>200000</v>
      </c>
      <c r="G845" s="1333">
        <f t="shared" si="189"/>
        <v>197139</v>
      </c>
      <c r="H845" s="1334">
        <f t="shared" si="179"/>
        <v>0.98569499999999999</v>
      </c>
    </row>
    <row r="846" spans="1:8" ht="16.5" customHeight="1">
      <c r="A846" s="1057"/>
      <c r="B846" s="2258"/>
      <c r="C846" s="2284" t="s">
        <v>561</v>
      </c>
      <c r="D846" s="2284"/>
      <c r="E846" s="1319">
        <f t="shared" ref="E846:G846" si="190">SUM(E847,E853)</f>
        <v>200000</v>
      </c>
      <c r="F846" s="1319">
        <f t="shared" si="190"/>
        <v>198971</v>
      </c>
      <c r="G846" s="1319">
        <f t="shared" si="190"/>
        <v>196111</v>
      </c>
      <c r="H846" s="1320">
        <f t="shared" si="179"/>
        <v>0.98562604600670445</v>
      </c>
    </row>
    <row r="847" spans="1:8" ht="16.5" customHeight="1">
      <c r="A847" s="1057"/>
      <c r="B847" s="2258"/>
      <c r="C847" s="2277" t="s">
        <v>562</v>
      </c>
      <c r="D847" s="2277"/>
      <c r="E847" s="1115">
        <f t="shared" ref="E847:G847" si="191">SUM(E848:E851)</f>
        <v>95000</v>
      </c>
      <c r="F847" s="1115">
        <f t="shared" si="191"/>
        <v>119023</v>
      </c>
      <c r="G847" s="1115">
        <f t="shared" si="191"/>
        <v>117515</v>
      </c>
      <c r="H847" s="1116">
        <f t="shared" si="179"/>
        <v>0.98733017988119942</v>
      </c>
    </row>
    <row r="848" spans="1:8" ht="16.5" customHeight="1">
      <c r="A848" s="1057"/>
      <c r="B848" s="2258"/>
      <c r="C848" s="1125" t="s">
        <v>145</v>
      </c>
      <c r="D848" s="1097" t="s">
        <v>563</v>
      </c>
      <c r="E848" s="1079">
        <v>76776</v>
      </c>
      <c r="F848" s="1079">
        <v>100937</v>
      </c>
      <c r="G848" s="1079">
        <v>99678</v>
      </c>
      <c r="H848" s="1080">
        <f t="shared" si="179"/>
        <v>0.98752687319813348</v>
      </c>
    </row>
    <row r="849" spans="1:8" ht="18" customHeight="1">
      <c r="A849" s="1057"/>
      <c r="B849" s="2258"/>
      <c r="C849" s="1096" t="s">
        <v>146</v>
      </c>
      <c r="D849" s="1097" t="s">
        <v>566</v>
      </c>
      <c r="E849" s="1079">
        <v>13343</v>
      </c>
      <c r="F849" s="1079">
        <v>17125</v>
      </c>
      <c r="G849" s="1079">
        <v>16907</v>
      </c>
      <c r="H849" s="1080">
        <f t="shared" si="179"/>
        <v>0.98727007299270075</v>
      </c>
    </row>
    <row r="850" spans="1:8" ht="17.25" customHeight="1">
      <c r="A850" s="1057"/>
      <c r="B850" s="2258"/>
      <c r="C850" s="1096" t="s">
        <v>147</v>
      </c>
      <c r="D850" s="1097" t="s">
        <v>567</v>
      </c>
      <c r="E850" s="1079">
        <v>1881</v>
      </c>
      <c r="F850" s="1079">
        <v>961</v>
      </c>
      <c r="G850" s="1079">
        <v>930</v>
      </c>
      <c r="H850" s="1080">
        <f t="shared" si="179"/>
        <v>0.967741935483871</v>
      </c>
    </row>
    <row r="851" spans="1:8" ht="17.25" customHeight="1">
      <c r="A851" s="1057"/>
      <c r="B851" s="2258"/>
      <c r="C851" s="1096" t="s">
        <v>568</v>
      </c>
      <c r="D851" s="1097" t="s">
        <v>569</v>
      </c>
      <c r="E851" s="1079">
        <v>3000</v>
      </c>
      <c r="F851" s="1079">
        <v>0</v>
      </c>
      <c r="G851" s="1079">
        <v>0</v>
      </c>
      <c r="H851" s="1080"/>
    </row>
    <row r="852" spans="1:8">
      <c r="A852" s="1057"/>
      <c r="B852" s="2258"/>
      <c r="C852" s="1178"/>
      <c r="D852" s="1178"/>
      <c r="E852" s="1302"/>
      <c r="F852" s="1302"/>
      <c r="G852" s="1302"/>
      <c r="H852" s="1303"/>
    </row>
    <row r="853" spans="1:8" ht="16.5" customHeight="1">
      <c r="A853" s="1057"/>
      <c r="B853" s="2258"/>
      <c r="C853" s="2278" t="s">
        <v>570</v>
      </c>
      <c r="D853" s="2278"/>
      <c r="E853" s="1335">
        <f>SUM(E854:E857)</f>
        <v>105000</v>
      </c>
      <c r="F853" s="1335">
        <f>SUM(F854:F857)</f>
        <v>79948</v>
      </c>
      <c r="G853" s="1335">
        <f>SUM(G854:G857)</f>
        <v>78596</v>
      </c>
      <c r="H853" s="1336">
        <f t="shared" si="179"/>
        <v>0.98308900785510578</v>
      </c>
    </row>
    <row r="854" spans="1:8" ht="17.25" customHeight="1">
      <c r="A854" s="1057"/>
      <c r="B854" s="2258"/>
      <c r="C854" s="1096" t="s">
        <v>143</v>
      </c>
      <c r="D854" s="1097" t="s">
        <v>573</v>
      </c>
      <c r="E854" s="1302">
        <v>80000</v>
      </c>
      <c r="F854" s="1302">
        <v>74446</v>
      </c>
      <c r="G854" s="1302">
        <v>73094</v>
      </c>
      <c r="H854" s="1303">
        <f t="shared" si="179"/>
        <v>0.98183918544985627</v>
      </c>
    </row>
    <row r="855" spans="1:8" ht="16.5" customHeight="1">
      <c r="A855" s="1057"/>
      <c r="B855" s="2258"/>
      <c r="C855" s="1096" t="s">
        <v>25</v>
      </c>
      <c r="D855" s="1097" t="s">
        <v>581</v>
      </c>
      <c r="E855" s="1302">
        <v>15000</v>
      </c>
      <c r="F855" s="1302">
        <v>5202</v>
      </c>
      <c r="G855" s="1302">
        <v>5202</v>
      </c>
      <c r="H855" s="1303">
        <f t="shared" si="179"/>
        <v>1</v>
      </c>
    </row>
    <row r="856" spans="1:8" ht="16.5" customHeight="1">
      <c r="A856" s="1057"/>
      <c r="B856" s="2258"/>
      <c r="C856" s="1087" t="s">
        <v>587</v>
      </c>
      <c r="D856" s="1088" t="s">
        <v>588</v>
      </c>
      <c r="E856" s="1310">
        <v>5000</v>
      </c>
      <c r="F856" s="1310">
        <v>0</v>
      </c>
      <c r="G856" s="1310">
        <v>0</v>
      </c>
      <c r="H856" s="1311"/>
    </row>
    <row r="857" spans="1:8" ht="18.75" customHeight="1">
      <c r="A857" s="1057"/>
      <c r="B857" s="2258"/>
      <c r="C857" s="1134" t="s">
        <v>148</v>
      </c>
      <c r="D857" s="1135" t="s">
        <v>773</v>
      </c>
      <c r="E857" s="1302">
        <v>5000</v>
      </c>
      <c r="F857" s="1302">
        <v>300</v>
      </c>
      <c r="G857" s="1302">
        <v>300</v>
      </c>
      <c r="H857" s="1303">
        <f t="shared" si="179"/>
        <v>1</v>
      </c>
    </row>
    <row r="858" spans="1:8" ht="13.5" customHeight="1">
      <c r="A858" s="1057"/>
      <c r="B858" s="1093"/>
      <c r="C858" s="1266"/>
      <c r="D858" s="1272"/>
      <c r="E858" s="1307"/>
      <c r="F858" s="1307"/>
      <c r="G858" s="1307"/>
      <c r="H858" s="1303"/>
    </row>
    <row r="859" spans="1:8" ht="15.75" customHeight="1">
      <c r="A859" s="1057"/>
      <c r="B859" s="1093"/>
      <c r="C859" s="2272" t="s">
        <v>779</v>
      </c>
      <c r="D859" s="2272"/>
      <c r="E859" s="1302">
        <f>E860</f>
        <v>0</v>
      </c>
      <c r="F859" s="1302">
        <f t="shared" ref="F859:G859" si="192">F860</f>
        <v>1029</v>
      </c>
      <c r="G859" s="1302">
        <f t="shared" si="192"/>
        <v>1028</v>
      </c>
      <c r="H859" s="1303">
        <f t="shared" si="179"/>
        <v>0.99902818270165206</v>
      </c>
    </row>
    <row r="860" spans="1:8" ht="21" customHeight="1" thickBot="1">
      <c r="A860" s="1057"/>
      <c r="B860" s="1337"/>
      <c r="C860" s="1096" t="s">
        <v>750</v>
      </c>
      <c r="D860" s="1097" t="s">
        <v>758</v>
      </c>
      <c r="E860" s="1338">
        <v>0</v>
      </c>
      <c r="F860" s="1338">
        <v>1029</v>
      </c>
      <c r="G860" s="1338">
        <v>1028</v>
      </c>
      <c r="H860" s="1303">
        <f t="shared" si="179"/>
        <v>0.99902818270165206</v>
      </c>
    </row>
    <row r="861" spans="1:8" ht="17.100000000000001" customHeight="1" thickBot="1">
      <c r="A861" s="2273"/>
      <c r="B861" s="1339" t="s">
        <v>28</v>
      </c>
      <c r="C861" s="1340"/>
      <c r="D861" s="1341" t="s">
        <v>11</v>
      </c>
      <c r="E861" s="1147">
        <f>E862+E926</f>
        <v>14124034</v>
      </c>
      <c r="F861" s="1147">
        <f t="shared" ref="F861:G861" si="193">F862+F926</f>
        <v>20456568</v>
      </c>
      <c r="G861" s="1147">
        <f t="shared" si="193"/>
        <v>17273825</v>
      </c>
      <c r="H861" s="1148">
        <f t="shared" si="179"/>
        <v>0.84441461539394091</v>
      </c>
    </row>
    <row r="862" spans="1:8" ht="17.100000000000001" customHeight="1">
      <c r="A862" s="2274"/>
      <c r="B862" s="2275"/>
      <c r="C862" s="2112" t="s">
        <v>560</v>
      </c>
      <c r="D862" s="2112"/>
      <c r="E862" s="1063">
        <f>E863+E879+E886+E883</f>
        <v>13616034</v>
      </c>
      <c r="F862" s="1063">
        <f t="shared" ref="F862:G862" si="194">F863+F879+F886+F883</f>
        <v>16192469</v>
      </c>
      <c r="G862" s="1063">
        <f t="shared" si="194"/>
        <v>13273727</v>
      </c>
      <c r="H862" s="1064">
        <f t="shared" si="179"/>
        <v>0.81974694532377979</v>
      </c>
    </row>
    <row r="863" spans="1:8" ht="17.100000000000001" customHeight="1">
      <c r="A863" s="1057"/>
      <c r="B863" s="2259"/>
      <c r="C863" s="2276" t="s">
        <v>561</v>
      </c>
      <c r="D863" s="2276"/>
      <c r="E863" s="1079">
        <f>E864+E868</f>
        <v>9824268</v>
      </c>
      <c r="F863" s="1079">
        <f t="shared" ref="F863:G863" si="195">F864+F868</f>
        <v>9750415</v>
      </c>
      <c r="G863" s="1079">
        <f t="shared" si="195"/>
        <v>9031246</v>
      </c>
      <c r="H863" s="1080">
        <f t="shared" si="179"/>
        <v>0.92624221635694481</v>
      </c>
    </row>
    <row r="864" spans="1:8" ht="17.100000000000001" customHeight="1">
      <c r="A864" s="1057"/>
      <c r="B864" s="2259"/>
      <c r="C864" s="2277" t="s">
        <v>562</v>
      </c>
      <c r="D864" s="2277"/>
      <c r="E864" s="1115">
        <f>SUM(E865:E866)</f>
        <v>89150</v>
      </c>
      <c r="F864" s="1115">
        <f t="shared" ref="F864:G864" si="196">SUM(F865:F866)</f>
        <v>88700</v>
      </c>
      <c r="G864" s="1115">
        <f t="shared" si="196"/>
        <v>19961</v>
      </c>
      <c r="H864" s="1116">
        <f t="shared" si="179"/>
        <v>0.22503945885005636</v>
      </c>
    </row>
    <row r="865" spans="1:8" ht="17.100000000000001" customHeight="1">
      <c r="A865" s="1057"/>
      <c r="B865" s="2259"/>
      <c r="C865" s="1342">
        <v>4110</v>
      </c>
      <c r="D865" s="1343" t="s">
        <v>566</v>
      </c>
      <c r="E865" s="1079">
        <v>0</v>
      </c>
      <c r="F865" s="1079">
        <v>700</v>
      </c>
      <c r="G865" s="1079">
        <v>261</v>
      </c>
      <c r="H865" s="1080">
        <f t="shared" si="179"/>
        <v>0.37285714285714283</v>
      </c>
    </row>
    <row r="866" spans="1:8" ht="17.100000000000001" customHeight="1">
      <c r="A866" s="1057"/>
      <c r="B866" s="2259"/>
      <c r="C866" s="1096" t="s">
        <v>568</v>
      </c>
      <c r="D866" s="1097" t="s">
        <v>569</v>
      </c>
      <c r="E866" s="1079">
        <v>89150</v>
      </c>
      <c r="F866" s="1079">
        <v>88000</v>
      </c>
      <c r="G866" s="1079">
        <v>19700</v>
      </c>
      <c r="H866" s="1080">
        <f t="shared" si="179"/>
        <v>0.22386363636363638</v>
      </c>
    </row>
    <row r="867" spans="1:8" ht="17.100000000000001" customHeight="1">
      <c r="A867" s="1057"/>
      <c r="B867" s="2259"/>
      <c r="C867" s="1098"/>
      <c r="D867" s="1098"/>
      <c r="E867" s="1075"/>
      <c r="F867" s="1075"/>
      <c r="G867" s="1075"/>
      <c r="H867" s="1076"/>
    </row>
    <row r="868" spans="1:8" ht="17.100000000000001" customHeight="1">
      <c r="A868" s="1057"/>
      <c r="B868" s="2259"/>
      <c r="C868" s="2278" t="s">
        <v>570</v>
      </c>
      <c r="D868" s="2278"/>
      <c r="E868" s="1115">
        <f>SUM(E869:E881)</f>
        <v>9735118</v>
      </c>
      <c r="F868" s="1115">
        <f t="shared" ref="F868:G868" si="197">SUM(F869:F881)</f>
        <v>9661715</v>
      </c>
      <c r="G868" s="1115">
        <f t="shared" si="197"/>
        <v>9011285</v>
      </c>
      <c r="H868" s="1116">
        <f t="shared" si="179"/>
        <v>0.93267965366397165</v>
      </c>
    </row>
    <row r="869" spans="1:8" ht="17.100000000000001" customHeight="1">
      <c r="A869" s="1057"/>
      <c r="B869" s="2259"/>
      <c r="C869" s="1096" t="s">
        <v>143</v>
      </c>
      <c r="D869" s="1097" t="s">
        <v>573</v>
      </c>
      <c r="E869" s="1079">
        <f>5000+20000+6000</f>
        <v>31000</v>
      </c>
      <c r="F869" s="1079">
        <v>35199</v>
      </c>
      <c r="G869" s="1079">
        <v>32755</v>
      </c>
      <c r="H869" s="1080">
        <f t="shared" si="179"/>
        <v>0.93056620926730871</v>
      </c>
    </row>
    <row r="870" spans="1:8" ht="17.100000000000001" customHeight="1">
      <c r="A870" s="1057"/>
      <c r="B870" s="2259"/>
      <c r="C870" s="1096" t="s">
        <v>25</v>
      </c>
      <c r="D870" s="1097" t="s">
        <v>581</v>
      </c>
      <c r="E870" s="1079">
        <f>11000+9024318+1000+16000</f>
        <v>9052318</v>
      </c>
      <c r="F870" s="1079">
        <v>9013445</v>
      </c>
      <c r="G870" s="1079">
        <v>8490093</v>
      </c>
      <c r="H870" s="1080">
        <f t="shared" si="179"/>
        <v>0.94193651816813662</v>
      </c>
    </row>
    <row r="871" spans="1:8" ht="17.100000000000001" customHeight="1">
      <c r="A871" s="1057"/>
      <c r="B871" s="2259"/>
      <c r="C871" s="1096" t="s">
        <v>754</v>
      </c>
      <c r="D871" s="1097" t="s">
        <v>740</v>
      </c>
      <c r="E871" s="1079">
        <f>3000+22000+3000</f>
        <v>28000</v>
      </c>
      <c r="F871" s="1079">
        <v>13850</v>
      </c>
      <c r="G871" s="1079">
        <v>3850</v>
      </c>
      <c r="H871" s="1080">
        <f t="shared" si="179"/>
        <v>0.27797833935018051</v>
      </c>
    </row>
    <row r="872" spans="1:8" ht="17.100000000000001" customHeight="1">
      <c r="A872" s="1057"/>
      <c r="B872" s="2259"/>
      <c r="C872" s="1096" t="s">
        <v>164</v>
      </c>
      <c r="D872" s="1097" t="s">
        <v>584</v>
      </c>
      <c r="E872" s="1079">
        <f>180000+15000+3000</f>
        <v>198000</v>
      </c>
      <c r="F872" s="1079">
        <v>227500</v>
      </c>
      <c r="G872" s="1079">
        <v>146570</v>
      </c>
      <c r="H872" s="1080">
        <f t="shared" si="179"/>
        <v>0.64426373626373623</v>
      </c>
    </row>
    <row r="873" spans="1:8" ht="17.100000000000001" customHeight="1">
      <c r="A873" s="1057"/>
      <c r="B873" s="2259"/>
      <c r="C873" s="1096" t="s">
        <v>587</v>
      </c>
      <c r="D873" s="1097" t="s">
        <v>588</v>
      </c>
      <c r="E873" s="1079">
        <f>6000+43200</f>
        <v>49200</v>
      </c>
      <c r="F873" s="1079">
        <v>4127</v>
      </c>
      <c r="G873" s="1079">
        <v>1721</v>
      </c>
      <c r="H873" s="1080">
        <f t="shared" si="179"/>
        <v>0.41700993457717472</v>
      </c>
    </row>
    <row r="874" spans="1:8" ht="17.100000000000001" customHeight="1">
      <c r="A874" s="1057"/>
      <c r="B874" s="2259"/>
      <c r="C874" s="1096" t="s">
        <v>701</v>
      </c>
      <c r="D874" s="1097" t="s">
        <v>702</v>
      </c>
      <c r="E874" s="1079">
        <v>10000</v>
      </c>
      <c r="F874" s="1079">
        <v>10000</v>
      </c>
      <c r="G874" s="1079">
        <v>7323</v>
      </c>
      <c r="H874" s="1080">
        <f t="shared" si="179"/>
        <v>0.73229999999999995</v>
      </c>
    </row>
    <row r="875" spans="1:8" ht="17.100000000000001" customHeight="1">
      <c r="A875" s="1057"/>
      <c r="B875" s="2259"/>
      <c r="C875" s="1096" t="s">
        <v>589</v>
      </c>
      <c r="D875" s="1097" t="s">
        <v>590</v>
      </c>
      <c r="E875" s="1079">
        <f>160000+110000</f>
        <v>270000</v>
      </c>
      <c r="F875" s="1079">
        <v>260144</v>
      </c>
      <c r="G875" s="1079">
        <v>260143</v>
      </c>
      <c r="H875" s="1080">
        <f t="shared" si="179"/>
        <v>0.99999615597515223</v>
      </c>
    </row>
    <row r="876" spans="1:8" ht="17.100000000000001" customHeight="1">
      <c r="A876" s="1057"/>
      <c r="B876" s="2259"/>
      <c r="C876" s="1096" t="s">
        <v>780</v>
      </c>
      <c r="D876" s="1097" t="s">
        <v>781</v>
      </c>
      <c r="E876" s="1079">
        <v>45000</v>
      </c>
      <c r="F876" s="1079">
        <v>45000</v>
      </c>
      <c r="G876" s="1079">
        <v>42880</v>
      </c>
      <c r="H876" s="1080">
        <f t="shared" ref="H876:H943" si="198">G876/F876</f>
        <v>0.9528888888888889</v>
      </c>
    </row>
    <row r="877" spans="1:8" ht="13.5" customHeight="1">
      <c r="A877" s="1057"/>
      <c r="B877" s="2259"/>
      <c r="C877" s="1096" t="s">
        <v>608</v>
      </c>
      <c r="D877" s="1097" t="s">
        <v>609</v>
      </c>
      <c r="E877" s="1079">
        <f>25000+6600</f>
        <v>31600</v>
      </c>
      <c r="F877" s="1079">
        <v>52250</v>
      </c>
      <c r="G877" s="1079">
        <v>25950</v>
      </c>
      <c r="H877" s="1080">
        <f t="shared" si="198"/>
        <v>0.49665071770334929</v>
      </c>
    </row>
    <row r="878" spans="1:8" hidden="1">
      <c r="A878" s="1057"/>
      <c r="B878" s="2259"/>
      <c r="C878" s="1098"/>
      <c r="D878" s="1098"/>
      <c r="E878" s="1079">
        <v>0</v>
      </c>
      <c r="F878" s="1079"/>
      <c r="G878" s="1079"/>
      <c r="H878" s="1080" t="e">
        <f t="shared" si="198"/>
        <v>#DIV/0!</v>
      </c>
    </row>
    <row r="879" spans="1:8" hidden="1">
      <c r="A879" s="1057"/>
      <c r="B879" s="2259"/>
      <c r="C879" s="2272" t="s">
        <v>647</v>
      </c>
      <c r="D879" s="2272"/>
      <c r="E879" s="1079">
        <v>0</v>
      </c>
      <c r="F879" s="1079"/>
      <c r="G879" s="1079"/>
      <c r="H879" s="1080" t="e">
        <f t="shared" si="198"/>
        <v>#DIV/0!</v>
      </c>
    </row>
    <row r="880" spans="1:8" ht="25.5" hidden="1">
      <c r="A880" s="1057"/>
      <c r="B880" s="2259"/>
      <c r="C880" s="1087" t="s">
        <v>179</v>
      </c>
      <c r="D880" s="1088" t="s">
        <v>782</v>
      </c>
      <c r="E880" s="1079">
        <v>0</v>
      </c>
      <c r="F880" s="1079"/>
      <c r="G880" s="1079"/>
      <c r="H880" s="1080" t="e">
        <f t="shared" si="198"/>
        <v>#DIV/0!</v>
      </c>
    </row>
    <row r="881" spans="1:8" ht="12.75" customHeight="1">
      <c r="A881" s="1057"/>
      <c r="B881" s="2259"/>
      <c r="C881" s="1096" t="s">
        <v>148</v>
      </c>
      <c r="D881" s="1247" t="s">
        <v>773</v>
      </c>
      <c r="E881" s="1079">
        <v>20000</v>
      </c>
      <c r="F881" s="1079">
        <v>200</v>
      </c>
      <c r="G881" s="1079">
        <v>0</v>
      </c>
      <c r="H881" s="1080">
        <f t="shared" si="198"/>
        <v>0</v>
      </c>
    </row>
    <row r="882" spans="1:8" ht="17.100000000000001" customHeight="1">
      <c r="A882" s="1057"/>
      <c r="B882" s="2259"/>
      <c r="C882" s="1163"/>
      <c r="D882" s="1163"/>
      <c r="E882" s="1164"/>
      <c r="F882" s="1164"/>
      <c r="G882" s="1164"/>
      <c r="H882" s="1165"/>
    </row>
    <row r="883" spans="1:8" ht="17.100000000000001" customHeight="1">
      <c r="A883" s="1057"/>
      <c r="B883" s="2259"/>
      <c r="C883" s="2272" t="s">
        <v>779</v>
      </c>
      <c r="D883" s="2272"/>
      <c r="E883" s="1280">
        <f t="shared" ref="E883:G883" si="199">E884</f>
        <v>4000</v>
      </c>
      <c r="F883" s="1280">
        <f t="shared" si="199"/>
        <v>3000</v>
      </c>
      <c r="G883" s="1280">
        <f t="shared" si="199"/>
        <v>2995</v>
      </c>
      <c r="H883" s="1281">
        <f t="shared" si="198"/>
        <v>0.99833333333333329</v>
      </c>
    </row>
    <row r="884" spans="1:8" ht="17.100000000000001" customHeight="1">
      <c r="A884" s="1057"/>
      <c r="B884" s="2259"/>
      <c r="C884" s="1096" t="s">
        <v>750</v>
      </c>
      <c r="D884" s="1097" t="s">
        <v>758</v>
      </c>
      <c r="E884" s="1280">
        <v>4000</v>
      </c>
      <c r="F884" s="1280">
        <v>3000</v>
      </c>
      <c r="G884" s="1280">
        <v>2995</v>
      </c>
      <c r="H884" s="1281">
        <f t="shared" si="198"/>
        <v>0.99833333333333329</v>
      </c>
    </row>
    <row r="885" spans="1:8" ht="17.100000000000001" customHeight="1">
      <c r="A885" s="1057"/>
      <c r="B885" s="2259"/>
      <c r="C885" s="2279"/>
      <c r="D885" s="2280"/>
      <c r="E885" s="1164"/>
      <c r="F885" s="1164"/>
      <c r="G885" s="1164"/>
      <c r="H885" s="1165"/>
    </row>
    <row r="886" spans="1:8" ht="17.100000000000001" customHeight="1">
      <c r="A886" s="1057"/>
      <c r="B886" s="2259"/>
      <c r="C886" s="2239" t="s">
        <v>616</v>
      </c>
      <c r="D886" s="2186"/>
      <c r="E886" s="1103">
        <f>SUM(E887:E924)</f>
        <v>3787766</v>
      </c>
      <c r="F886" s="1103">
        <f t="shared" ref="F886:G886" si="200">SUM(F887:F924)</f>
        <v>6439054</v>
      </c>
      <c r="G886" s="1103">
        <f t="shared" si="200"/>
        <v>4239486</v>
      </c>
      <c r="H886" s="1104">
        <f t="shared" si="198"/>
        <v>0.65840199507567421</v>
      </c>
    </row>
    <row r="887" spans="1:8" ht="57" customHeight="1">
      <c r="A887" s="1057"/>
      <c r="B887" s="2259"/>
      <c r="C887" s="1142" t="s">
        <v>617</v>
      </c>
      <c r="D887" s="1143" t="s">
        <v>618</v>
      </c>
      <c r="E887" s="1103">
        <v>472600</v>
      </c>
      <c r="F887" s="1103">
        <v>2402290</v>
      </c>
      <c r="G887" s="1103">
        <v>997381</v>
      </c>
      <c r="H887" s="1104">
        <f t="shared" si="198"/>
        <v>0.41517926644992903</v>
      </c>
    </row>
    <row r="888" spans="1:8" ht="57" customHeight="1">
      <c r="A888" s="1057"/>
      <c r="B888" s="2259"/>
      <c r="C888" s="1142" t="s">
        <v>508</v>
      </c>
      <c r="D888" s="1143" t="s">
        <v>618</v>
      </c>
      <c r="E888" s="1103">
        <v>83400</v>
      </c>
      <c r="F888" s="1103">
        <v>423934</v>
      </c>
      <c r="G888" s="1103">
        <v>176008</v>
      </c>
      <c r="H888" s="1104">
        <f t="shared" si="198"/>
        <v>0.41517783428552557</v>
      </c>
    </row>
    <row r="889" spans="1:8" ht="39.75" customHeight="1">
      <c r="A889" s="1057"/>
      <c r="B889" s="2259"/>
      <c r="C889" s="1344" t="s">
        <v>474</v>
      </c>
      <c r="D889" s="1143" t="s">
        <v>666</v>
      </c>
      <c r="E889" s="1103">
        <v>0</v>
      </c>
      <c r="F889" s="1103">
        <v>62</v>
      </c>
      <c r="G889" s="1103">
        <v>61</v>
      </c>
      <c r="H889" s="1104">
        <f t="shared" si="198"/>
        <v>0.9838709677419355</v>
      </c>
    </row>
    <row r="890" spans="1:8" ht="20.25" customHeight="1">
      <c r="A890" s="1057"/>
      <c r="B890" s="2259"/>
      <c r="C890" s="1344" t="s">
        <v>783</v>
      </c>
      <c r="D890" s="1143" t="s">
        <v>613</v>
      </c>
      <c r="E890" s="1103">
        <v>0</v>
      </c>
      <c r="F890" s="1103">
        <v>83229</v>
      </c>
      <c r="G890" s="1103">
        <v>83229</v>
      </c>
      <c r="H890" s="1104">
        <f t="shared" si="198"/>
        <v>1</v>
      </c>
    </row>
    <row r="891" spans="1:8" ht="17.100000000000001" customHeight="1">
      <c r="A891" s="1057"/>
      <c r="B891" s="2259"/>
      <c r="C891" s="1125" t="s">
        <v>620</v>
      </c>
      <c r="D891" s="1097" t="s">
        <v>563</v>
      </c>
      <c r="E891" s="1103">
        <f>32275+910006+241125</f>
        <v>1183406</v>
      </c>
      <c r="F891" s="1103">
        <v>1289131</v>
      </c>
      <c r="G891" s="1103">
        <v>1253194</v>
      </c>
      <c r="H891" s="1104">
        <f t="shared" si="198"/>
        <v>0.97212308136256131</v>
      </c>
    </row>
    <row r="892" spans="1:8" ht="17.100000000000001" customHeight="1">
      <c r="A892" s="1057"/>
      <c r="B892" s="2259"/>
      <c r="C892" s="1096" t="s">
        <v>621</v>
      </c>
      <c r="D892" s="1097" t="s">
        <v>563</v>
      </c>
      <c r="E892" s="1103">
        <f>5696+160589</f>
        <v>166285</v>
      </c>
      <c r="F892" s="1103">
        <v>184730</v>
      </c>
      <c r="G892" s="1103">
        <v>179350</v>
      </c>
      <c r="H892" s="1104">
        <f t="shared" si="198"/>
        <v>0.97087641422616788</v>
      </c>
    </row>
    <row r="893" spans="1:8" ht="17.100000000000001" customHeight="1">
      <c r="A893" s="1057"/>
      <c r="B893" s="2259"/>
      <c r="C893" s="1096" t="s">
        <v>622</v>
      </c>
      <c r="D893" s="1097" t="s">
        <v>565</v>
      </c>
      <c r="E893" s="1103">
        <f>53877+18000</f>
        <v>71877</v>
      </c>
      <c r="F893" s="1103">
        <v>68956</v>
      </c>
      <c r="G893" s="1103">
        <v>68954</v>
      </c>
      <c r="H893" s="1104">
        <f t="shared" si="198"/>
        <v>0.99997099599744765</v>
      </c>
    </row>
    <row r="894" spans="1:8" ht="17.100000000000001" customHeight="1">
      <c r="A894" s="1057"/>
      <c r="B894" s="2259"/>
      <c r="C894" s="1096" t="s">
        <v>623</v>
      </c>
      <c r="D894" s="1097" t="s">
        <v>565</v>
      </c>
      <c r="E894" s="1103">
        <v>9508</v>
      </c>
      <c r="F894" s="1103">
        <v>9511</v>
      </c>
      <c r="G894" s="1103">
        <v>9510</v>
      </c>
      <c r="H894" s="1104">
        <f t="shared" si="198"/>
        <v>0.99989485858479654</v>
      </c>
    </row>
    <row r="895" spans="1:8" ht="17.100000000000001" customHeight="1">
      <c r="A895" s="1057"/>
      <c r="B895" s="2259"/>
      <c r="C895" s="1096" t="s">
        <v>624</v>
      </c>
      <c r="D895" s="1097" t="s">
        <v>566</v>
      </c>
      <c r="E895" s="1103">
        <f>5609+173910+44693</f>
        <v>224212</v>
      </c>
      <c r="F895" s="1103">
        <v>243518</v>
      </c>
      <c r="G895" s="1103">
        <v>225688</v>
      </c>
      <c r="H895" s="1104">
        <f t="shared" si="198"/>
        <v>0.9267815931471185</v>
      </c>
    </row>
    <row r="896" spans="1:8" ht="17.100000000000001" customHeight="1">
      <c r="A896" s="1057"/>
      <c r="B896" s="2259"/>
      <c r="C896" s="1096" t="s">
        <v>625</v>
      </c>
      <c r="D896" s="1097" t="s">
        <v>566</v>
      </c>
      <c r="E896" s="1103">
        <f>990+30690</f>
        <v>31680</v>
      </c>
      <c r="F896" s="1103">
        <v>34868</v>
      </c>
      <c r="G896" s="1103">
        <v>32137</v>
      </c>
      <c r="H896" s="1104">
        <f t="shared" si="198"/>
        <v>0.92167603533325682</v>
      </c>
    </row>
    <row r="897" spans="1:8" ht="17.100000000000001" customHeight="1">
      <c r="A897" s="1057"/>
      <c r="B897" s="2259"/>
      <c r="C897" s="1096" t="s">
        <v>626</v>
      </c>
      <c r="D897" s="1097" t="s">
        <v>567</v>
      </c>
      <c r="E897" s="1103">
        <f>791+52207+4487</f>
        <v>57485</v>
      </c>
      <c r="F897" s="1103">
        <v>59894</v>
      </c>
      <c r="G897" s="1103">
        <v>29208</v>
      </c>
      <c r="H897" s="1104">
        <f t="shared" si="198"/>
        <v>0.48766153537916984</v>
      </c>
    </row>
    <row r="898" spans="1:8" ht="17.100000000000001" customHeight="1">
      <c r="A898" s="1057"/>
      <c r="B898" s="2259"/>
      <c r="C898" s="1096" t="s">
        <v>627</v>
      </c>
      <c r="D898" s="1097" t="s">
        <v>567</v>
      </c>
      <c r="E898" s="1103">
        <f>139+9213</f>
        <v>9352</v>
      </c>
      <c r="F898" s="1103">
        <v>9751</v>
      </c>
      <c r="G898" s="1103">
        <v>4402</v>
      </c>
      <c r="H898" s="1104">
        <f t="shared" si="198"/>
        <v>0.45144087785868114</v>
      </c>
    </row>
    <row r="899" spans="1:8" ht="17.100000000000001" customHeight="1">
      <c r="A899" s="1057"/>
      <c r="B899" s="2259"/>
      <c r="C899" s="1096" t="s">
        <v>628</v>
      </c>
      <c r="D899" s="1097" t="s">
        <v>569</v>
      </c>
      <c r="E899" s="1103">
        <v>5000</v>
      </c>
      <c r="F899" s="1103">
        <v>0</v>
      </c>
      <c r="G899" s="1103">
        <v>0</v>
      </c>
      <c r="H899" s="1104"/>
    </row>
    <row r="900" spans="1:8" ht="17.100000000000001" customHeight="1">
      <c r="A900" s="1057"/>
      <c r="B900" s="2259"/>
      <c r="C900" s="1096" t="s">
        <v>633</v>
      </c>
      <c r="D900" s="1097" t="s">
        <v>573</v>
      </c>
      <c r="E900" s="1103">
        <f>17000+150293+30000</f>
        <v>197293</v>
      </c>
      <c r="F900" s="1103">
        <v>280847</v>
      </c>
      <c r="G900" s="1103">
        <v>222081</v>
      </c>
      <c r="H900" s="1104">
        <f t="shared" si="198"/>
        <v>0.79075439652194968</v>
      </c>
    </row>
    <row r="901" spans="1:8" ht="17.100000000000001" customHeight="1">
      <c r="A901" s="1057"/>
      <c r="B901" s="2259"/>
      <c r="C901" s="1096" t="s">
        <v>634</v>
      </c>
      <c r="D901" s="1097" t="s">
        <v>573</v>
      </c>
      <c r="E901" s="1103">
        <f>3000+26522</f>
        <v>29522</v>
      </c>
      <c r="F901" s="1103">
        <v>34030</v>
      </c>
      <c r="G901" s="1103">
        <v>28059</v>
      </c>
      <c r="H901" s="1104">
        <f t="shared" si="198"/>
        <v>0.82453717308257424</v>
      </c>
    </row>
    <row r="902" spans="1:8" ht="17.100000000000001" customHeight="1">
      <c r="A902" s="1057"/>
      <c r="B902" s="2259"/>
      <c r="C902" s="1096" t="s">
        <v>784</v>
      </c>
      <c r="D902" s="1097" t="s">
        <v>575</v>
      </c>
      <c r="E902" s="1103">
        <v>0</v>
      </c>
      <c r="F902" s="1103">
        <v>39250</v>
      </c>
      <c r="G902" s="1103">
        <v>36432</v>
      </c>
      <c r="H902" s="1104">
        <f t="shared" si="198"/>
        <v>0.92820382165605098</v>
      </c>
    </row>
    <row r="903" spans="1:8" ht="17.100000000000001" customHeight="1">
      <c r="A903" s="1057"/>
      <c r="B903" s="2259"/>
      <c r="C903" s="1096" t="s">
        <v>785</v>
      </c>
      <c r="D903" s="1097" t="s">
        <v>575</v>
      </c>
      <c r="E903" s="1103">
        <v>0</v>
      </c>
      <c r="F903" s="1103">
        <v>6750</v>
      </c>
      <c r="G903" s="1103">
        <v>6410</v>
      </c>
      <c r="H903" s="1104">
        <f t="shared" si="198"/>
        <v>0.9496296296296296</v>
      </c>
    </row>
    <row r="904" spans="1:8" ht="17.100000000000001" customHeight="1">
      <c r="A904" s="1057"/>
      <c r="B904" s="2259"/>
      <c r="C904" s="1096" t="s">
        <v>760</v>
      </c>
      <c r="D904" s="1097" t="s">
        <v>577</v>
      </c>
      <c r="E904" s="1103">
        <v>15300</v>
      </c>
      <c r="F904" s="1103">
        <v>15300</v>
      </c>
      <c r="G904" s="1103">
        <v>11391</v>
      </c>
      <c r="H904" s="1104">
        <f t="shared" si="198"/>
        <v>0.74450980392156862</v>
      </c>
    </row>
    <row r="905" spans="1:8" ht="17.100000000000001" customHeight="1">
      <c r="A905" s="1057"/>
      <c r="B905" s="2259"/>
      <c r="C905" s="1096" t="s">
        <v>761</v>
      </c>
      <c r="D905" s="1097" t="s">
        <v>577</v>
      </c>
      <c r="E905" s="1103">
        <v>2700</v>
      </c>
      <c r="F905" s="1103">
        <v>2700</v>
      </c>
      <c r="G905" s="1103">
        <v>2011</v>
      </c>
      <c r="H905" s="1104">
        <f t="shared" si="198"/>
        <v>0.74481481481481482</v>
      </c>
    </row>
    <row r="906" spans="1:8" ht="17.100000000000001" customHeight="1">
      <c r="A906" s="1057"/>
      <c r="B906" s="2259"/>
      <c r="C906" s="1096" t="s">
        <v>635</v>
      </c>
      <c r="D906" s="1097" t="s">
        <v>578</v>
      </c>
      <c r="E906" s="1103">
        <f>1700+5000</f>
        <v>6700</v>
      </c>
      <c r="F906" s="1103">
        <v>2700</v>
      </c>
      <c r="G906" s="1103">
        <v>0</v>
      </c>
      <c r="H906" s="1104">
        <f t="shared" si="198"/>
        <v>0</v>
      </c>
    </row>
    <row r="907" spans="1:8" ht="17.100000000000001" customHeight="1">
      <c r="A907" s="1057"/>
      <c r="B907" s="2259"/>
      <c r="C907" s="1096" t="s">
        <v>636</v>
      </c>
      <c r="D907" s="1097" t="s">
        <v>578</v>
      </c>
      <c r="E907" s="1103">
        <v>300</v>
      </c>
      <c r="F907" s="1103">
        <v>300</v>
      </c>
      <c r="G907" s="1103">
        <v>0</v>
      </c>
      <c r="H907" s="1104">
        <f t="shared" si="198"/>
        <v>0</v>
      </c>
    </row>
    <row r="908" spans="1:8" ht="17.100000000000001" customHeight="1">
      <c r="A908" s="1057"/>
      <c r="B908" s="2259"/>
      <c r="C908" s="1096" t="s">
        <v>637</v>
      </c>
      <c r="D908" s="1097" t="s">
        <v>581</v>
      </c>
      <c r="E908" s="1103">
        <f>17850+296650+592980</f>
        <v>907480</v>
      </c>
      <c r="F908" s="1103">
        <v>920315</v>
      </c>
      <c r="G908" s="1103">
        <v>681371</v>
      </c>
      <c r="H908" s="1104">
        <f t="shared" si="198"/>
        <v>0.74036715689736665</v>
      </c>
    </row>
    <row r="909" spans="1:8" ht="17.100000000000001" customHeight="1">
      <c r="A909" s="1057"/>
      <c r="B909" s="2259"/>
      <c r="C909" s="1096" t="s">
        <v>638</v>
      </c>
      <c r="D909" s="1097" t="s">
        <v>581</v>
      </c>
      <c r="E909" s="1103">
        <f>3150+52350</f>
        <v>55500</v>
      </c>
      <c r="F909" s="1103">
        <v>59555</v>
      </c>
      <c r="G909" s="1103">
        <v>33365</v>
      </c>
      <c r="H909" s="1104">
        <f t="shared" si="198"/>
        <v>0.56023843506002857</v>
      </c>
    </row>
    <row r="910" spans="1:8" ht="17.100000000000001" customHeight="1">
      <c r="A910" s="1057"/>
      <c r="B910" s="2259"/>
      <c r="C910" s="1096" t="s">
        <v>764</v>
      </c>
      <c r="D910" s="1097" t="s">
        <v>583</v>
      </c>
      <c r="E910" s="1103">
        <f>6800+3000</f>
        <v>9800</v>
      </c>
      <c r="F910" s="1103">
        <v>9965</v>
      </c>
      <c r="G910" s="1103">
        <v>3005</v>
      </c>
      <c r="H910" s="1104">
        <f t="shared" si="198"/>
        <v>0.30155544405418966</v>
      </c>
    </row>
    <row r="911" spans="1:8" ht="17.100000000000001" customHeight="1">
      <c r="A911" s="1057"/>
      <c r="B911" s="2259"/>
      <c r="C911" s="1096" t="s">
        <v>786</v>
      </c>
      <c r="D911" s="1097" t="s">
        <v>583</v>
      </c>
      <c r="E911" s="1103">
        <v>1200</v>
      </c>
      <c r="F911" s="1103">
        <v>1200</v>
      </c>
      <c r="G911" s="1103">
        <v>200</v>
      </c>
      <c r="H911" s="1104">
        <f t="shared" si="198"/>
        <v>0.16666666666666666</v>
      </c>
    </row>
    <row r="912" spans="1:8" ht="17.100000000000001" customHeight="1">
      <c r="A912" s="1057"/>
      <c r="B912" s="2259"/>
      <c r="C912" s="1096" t="s">
        <v>741</v>
      </c>
      <c r="D912" s="1097" t="s">
        <v>740</v>
      </c>
      <c r="E912" s="1103">
        <f>2550+4250+6000</f>
        <v>12800</v>
      </c>
      <c r="F912" s="1103">
        <v>10250</v>
      </c>
      <c r="G912" s="1103">
        <v>7418</v>
      </c>
      <c r="H912" s="1104">
        <f t="shared" si="198"/>
        <v>0.72370731707317071</v>
      </c>
    </row>
    <row r="913" spans="1:8" ht="17.100000000000001" customHeight="1">
      <c r="A913" s="1057"/>
      <c r="B913" s="2259"/>
      <c r="C913" s="1096" t="s">
        <v>742</v>
      </c>
      <c r="D913" s="1097" t="s">
        <v>740</v>
      </c>
      <c r="E913" s="1103">
        <f>450+750</f>
        <v>1200</v>
      </c>
      <c r="F913" s="1103">
        <v>750</v>
      </c>
      <c r="G913" s="1103">
        <v>252</v>
      </c>
      <c r="H913" s="1104">
        <f t="shared" si="198"/>
        <v>0.33600000000000002</v>
      </c>
    </row>
    <row r="914" spans="1:8" ht="17.100000000000001" customHeight="1">
      <c r="A914" s="1057"/>
      <c r="B914" s="2259"/>
      <c r="C914" s="1096" t="s">
        <v>766</v>
      </c>
      <c r="D914" s="1097" t="s">
        <v>586</v>
      </c>
      <c r="E914" s="1103">
        <f>17000+40000</f>
        <v>57000</v>
      </c>
      <c r="F914" s="1103">
        <v>43000</v>
      </c>
      <c r="G914" s="1103">
        <v>31268</v>
      </c>
      <c r="H914" s="1104">
        <f t="shared" si="198"/>
        <v>0.72716279069767442</v>
      </c>
    </row>
    <row r="915" spans="1:8" ht="17.100000000000001" customHeight="1">
      <c r="A915" s="1057"/>
      <c r="B915" s="2259"/>
      <c r="C915" s="1096" t="s">
        <v>767</v>
      </c>
      <c r="D915" s="1097" t="s">
        <v>586</v>
      </c>
      <c r="E915" s="1103">
        <v>3000</v>
      </c>
      <c r="F915" s="1103">
        <v>3000</v>
      </c>
      <c r="G915" s="1103">
        <v>2283</v>
      </c>
      <c r="H915" s="1104">
        <f t="shared" si="198"/>
        <v>0.76100000000000001</v>
      </c>
    </row>
    <row r="916" spans="1:8" ht="17.100000000000001" customHeight="1">
      <c r="A916" s="1057"/>
      <c r="B916" s="2259"/>
      <c r="C916" s="1096" t="s">
        <v>641</v>
      </c>
      <c r="D916" s="1097" t="s">
        <v>588</v>
      </c>
      <c r="E916" s="1103">
        <f>3400+9932+22071</f>
        <v>35403</v>
      </c>
      <c r="F916" s="1103">
        <v>46697</v>
      </c>
      <c r="G916" s="1103">
        <v>19782</v>
      </c>
      <c r="H916" s="1104">
        <f t="shared" si="198"/>
        <v>0.42362464398141209</v>
      </c>
    </row>
    <row r="917" spans="1:8" ht="17.100000000000001" customHeight="1">
      <c r="A917" s="1057"/>
      <c r="B917" s="2259"/>
      <c r="C917" s="1096" t="s">
        <v>642</v>
      </c>
      <c r="D917" s="1097" t="s">
        <v>588</v>
      </c>
      <c r="E917" s="1103">
        <f>600+1753</f>
        <v>2353</v>
      </c>
      <c r="F917" s="1103">
        <v>4875</v>
      </c>
      <c r="G917" s="1103">
        <v>2558</v>
      </c>
      <c r="H917" s="1104">
        <f t="shared" si="198"/>
        <v>0.52471794871794875</v>
      </c>
    </row>
    <row r="918" spans="1:8" ht="17.100000000000001" customHeight="1">
      <c r="A918" s="1057"/>
      <c r="B918" s="2259"/>
      <c r="C918" s="1096" t="s">
        <v>745</v>
      </c>
      <c r="D918" s="1097" t="s">
        <v>702</v>
      </c>
      <c r="E918" s="1103">
        <f>4250+13242</f>
        <v>17492</v>
      </c>
      <c r="F918" s="1103">
        <v>25915</v>
      </c>
      <c r="G918" s="1103">
        <v>7871</v>
      </c>
      <c r="H918" s="1104">
        <f t="shared" si="198"/>
        <v>0.30372371213582866</v>
      </c>
    </row>
    <row r="919" spans="1:8" ht="17.100000000000001" customHeight="1">
      <c r="A919" s="1057"/>
      <c r="B919" s="2259"/>
      <c r="C919" s="1096" t="s">
        <v>746</v>
      </c>
      <c r="D919" s="1097" t="s">
        <v>702</v>
      </c>
      <c r="E919" s="1103">
        <v>750</v>
      </c>
      <c r="F919" s="1103">
        <v>600</v>
      </c>
      <c r="G919" s="1103">
        <v>434</v>
      </c>
      <c r="H919" s="1104">
        <f t="shared" si="198"/>
        <v>0.72333333333333338</v>
      </c>
    </row>
    <row r="920" spans="1:8" ht="17.100000000000001" customHeight="1">
      <c r="A920" s="1057"/>
      <c r="B920" s="2259"/>
      <c r="C920" s="1096" t="s">
        <v>768</v>
      </c>
      <c r="D920" s="1097" t="s">
        <v>598</v>
      </c>
      <c r="E920" s="1103">
        <v>1275</v>
      </c>
      <c r="F920" s="1103">
        <v>1275</v>
      </c>
      <c r="G920" s="1103">
        <v>143</v>
      </c>
      <c r="H920" s="1104">
        <f t="shared" si="198"/>
        <v>0.11215686274509803</v>
      </c>
    </row>
    <row r="921" spans="1:8" ht="17.100000000000001" customHeight="1">
      <c r="A921" s="1057"/>
      <c r="B921" s="2259"/>
      <c r="C921" s="1087" t="s">
        <v>769</v>
      </c>
      <c r="D921" s="1097" t="s">
        <v>598</v>
      </c>
      <c r="E921" s="1103">
        <v>225</v>
      </c>
      <c r="F921" s="1103">
        <v>225</v>
      </c>
      <c r="G921" s="1103">
        <v>25</v>
      </c>
      <c r="H921" s="1104">
        <f t="shared" si="198"/>
        <v>0.1111111111111111</v>
      </c>
    </row>
    <row r="922" spans="1:8" ht="40.5" customHeight="1">
      <c r="A922" s="1057"/>
      <c r="B922" s="2259"/>
      <c r="C922" s="1134" t="s">
        <v>662</v>
      </c>
      <c r="D922" s="1247" t="s">
        <v>663</v>
      </c>
      <c r="E922" s="1103">
        <v>0</v>
      </c>
      <c r="F922" s="1103">
        <v>13</v>
      </c>
      <c r="G922" s="1103">
        <v>7</v>
      </c>
      <c r="H922" s="1104">
        <f t="shared" si="198"/>
        <v>0.53846153846153844</v>
      </c>
    </row>
    <row r="923" spans="1:8" ht="17.100000000000001" customHeight="1">
      <c r="A923" s="1057"/>
      <c r="B923" s="2259"/>
      <c r="C923" s="1345" t="s">
        <v>645</v>
      </c>
      <c r="D923" s="1247" t="s">
        <v>773</v>
      </c>
      <c r="E923" s="1103">
        <f>91800+7668</f>
        <v>99468</v>
      </c>
      <c r="F923" s="1103">
        <v>103468</v>
      </c>
      <c r="G923" s="1103">
        <v>72015</v>
      </c>
      <c r="H923" s="1104">
        <f t="shared" si="198"/>
        <v>0.69601229365600958</v>
      </c>
    </row>
    <row r="924" spans="1:8" ht="17.100000000000001" customHeight="1">
      <c r="A924" s="2256"/>
      <c r="B924" s="2259"/>
      <c r="C924" s="1345" t="s">
        <v>646</v>
      </c>
      <c r="D924" s="1346" t="s">
        <v>773</v>
      </c>
      <c r="E924" s="1185">
        <v>16200</v>
      </c>
      <c r="F924" s="1185">
        <v>16200</v>
      </c>
      <c r="G924" s="1185">
        <v>11983</v>
      </c>
      <c r="H924" s="1186">
        <f t="shared" si="198"/>
        <v>0.73969135802469133</v>
      </c>
    </row>
    <row r="925" spans="1:8" ht="17.100000000000001" customHeight="1">
      <c r="A925" s="2256"/>
      <c r="B925" s="2259"/>
      <c r="C925" s="1136"/>
      <c r="D925" s="1347"/>
      <c r="E925" s="1283"/>
      <c r="F925" s="1283"/>
      <c r="G925" s="1283"/>
      <c r="H925" s="1284"/>
    </row>
    <row r="926" spans="1:8" ht="17.100000000000001" customHeight="1">
      <c r="A926" s="2256"/>
      <c r="B926" s="2259"/>
      <c r="C926" s="2265" t="s">
        <v>605</v>
      </c>
      <c r="D926" s="2209"/>
      <c r="E926" s="1348">
        <f>E927+E933</f>
        <v>508000</v>
      </c>
      <c r="F926" s="1348">
        <f t="shared" ref="F926:G926" si="201">F927+F933</f>
        <v>4264099</v>
      </c>
      <c r="G926" s="1348">
        <f t="shared" si="201"/>
        <v>4000098</v>
      </c>
      <c r="H926" s="1349">
        <f>G926/F926</f>
        <v>0.93808750688011699</v>
      </c>
    </row>
    <row r="927" spans="1:8" ht="17.100000000000001" customHeight="1">
      <c r="A927" s="2256"/>
      <c r="B927" s="2259"/>
      <c r="C927" s="2246" t="s">
        <v>606</v>
      </c>
      <c r="D927" s="2247"/>
      <c r="E927" s="1302">
        <f>SUM(E928:E931)</f>
        <v>508000</v>
      </c>
      <c r="F927" s="1302">
        <f t="shared" ref="F927:G927" si="202">SUM(F928:F931)</f>
        <v>264047</v>
      </c>
      <c r="G927" s="1302">
        <f t="shared" si="202"/>
        <v>46</v>
      </c>
      <c r="H927" s="1303">
        <f>G927/F927</f>
        <v>1.7421140933242946E-4</v>
      </c>
    </row>
    <row r="928" spans="1:8" ht="17.100000000000001" customHeight="1">
      <c r="A928" s="2256"/>
      <c r="B928" s="2259"/>
      <c r="C928" s="1096" t="s">
        <v>26</v>
      </c>
      <c r="D928" s="1097" t="s">
        <v>607</v>
      </c>
      <c r="E928" s="1319">
        <v>250000</v>
      </c>
      <c r="F928" s="1319">
        <v>250000</v>
      </c>
      <c r="G928" s="1319">
        <v>0</v>
      </c>
      <c r="H928" s="1320">
        <f t="shared" si="198"/>
        <v>0</v>
      </c>
    </row>
    <row r="929" spans="1:8" ht="17.100000000000001" customHeight="1">
      <c r="A929" s="2256"/>
      <c r="B929" s="2259"/>
      <c r="C929" s="1096" t="s">
        <v>708</v>
      </c>
      <c r="D929" s="1097" t="s">
        <v>650</v>
      </c>
      <c r="E929" s="1302">
        <v>8000</v>
      </c>
      <c r="F929" s="1302">
        <v>14000</v>
      </c>
      <c r="G929" s="1302">
        <v>0</v>
      </c>
      <c r="H929" s="1303">
        <f t="shared" si="198"/>
        <v>0</v>
      </c>
    </row>
    <row r="930" spans="1:8" ht="38.25">
      <c r="A930" s="2256"/>
      <c r="B930" s="1218"/>
      <c r="C930" s="1096" t="s">
        <v>194</v>
      </c>
      <c r="D930" s="1097" t="s">
        <v>787</v>
      </c>
      <c r="E930" s="1302">
        <v>250000</v>
      </c>
      <c r="F930" s="1302">
        <v>0</v>
      </c>
      <c r="G930" s="1302">
        <v>0</v>
      </c>
      <c r="H930" s="1303"/>
    </row>
    <row r="931" spans="1:8" ht="51">
      <c r="A931" s="2256"/>
      <c r="B931" s="1218"/>
      <c r="C931" s="1233" t="s">
        <v>788</v>
      </c>
      <c r="D931" s="1272" t="s">
        <v>612</v>
      </c>
      <c r="E931" s="1319">
        <v>0</v>
      </c>
      <c r="F931" s="1319">
        <v>47</v>
      </c>
      <c r="G931" s="1319">
        <v>46</v>
      </c>
      <c r="H931" s="1320">
        <f t="shared" si="198"/>
        <v>0.97872340425531912</v>
      </c>
    </row>
    <row r="932" spans="1:8" ht="15">
      <c r="A932" s="2256"/>
      <c r="B932" s="1218"/>
      <c r="C932" s="2266"/>
      <c r="D932" s="2267"/>
      <c r="E932" s="1350"/>
      <c r="F932" s="1350"/>
      <c r="G932" s="1350"/>
      <c r="H932" s="1351"/>
    </row>
    <row r="933" spans="1:8" ht="15">
      <c r="A933" s="2256"/>
      <c r="B933" s="1218"/>
      <c r="C933" s="2268" t="s">
        <v>712</v>
      </c>
      <c r="D933" s="2269"/>
      <c r="E933" s="1350">
        <f>E934</f>
        <v>0</v>
      </c>
      <c r="F933" s="1350">
        <f t="shared" ref="F933:G933" si="203">F934</f>
        <v>4000052</v>
      </c>
      <c r="G933" s="1350">
        <f t="shared" si="203"/>
        <v>4000052</v>
      </c>
      <c r="H933" s="1351">
        <f t="shared" si="198"/>
        <v>1</v>
      </c>
    </row>
    <row r="934" spans="1:8" ht="38.25">
      <c r="A934" s="2256"/>
      <c r="B934" s="1218"/>
      <c r="C934" s="1352" t="s">
        <v>713</v>
      </c>
      <c r="D934" s="1353" t="s">
        <v>714</v>
      </c>
      <c r="E934" s="1350">
        <v>0</v>
      </c>
      <c r="F934" s="1350">
        <v>4000052</v>
      </c>
      <c r="G934" s="1350">
        <v>4000052</v>
      </c>
      <c r="H934" s="1351">
        <f t="shared" si="198"/>
        <v>1</v>
      </c>
    </row>
    <row r="935" spans="1:8" ht="17.100000000000001" customHeight="1">
      <c r="A935" s="2256"/>
      <c r="B935" s="1218"/>
      <c r="C935" s="1354"/>
      <c r="D935" s="1321"/>
      <c r="E935" s="1355"/>
      <c r="F935" s="1355"/>
      <c r="G935" s="1355"/>
      <c r="H935" s="1351"/>
    </row>
    <row r="936" spans="1:8" ht="17.100000000000001" customHeight="1">
      <c r="A936" s="2256"/>
      <c r="B936" s="1218"/>
      <c r="C936" s="2270" t="s">
        <v>614</v>
      </c>
      <c r="D936" s="2271"/>
      <c r="E936" s="1356">
        <f>SUM(E937:E938)</f>
        <v>8000</v>
      </c>
      <c r="F936" s="1356">
        <f t="shared" ref="F936:G936" si="204">SUM(F937:F938)</f>
        <v>14047</v>
      </c>
      <c r="G936" s="1356">
        <f t="shared" si="204"/>
        <v>46</v>
      </c>
      <c r="H936" s="1351">
        <f t="shared" si="198"/>
        <v>3.2747205809069554E-3</v>
      </c>
    </row>
    <row r="937" spans="1:8" ht="17.100000000000001" customHeight="1">
      <c r="A937" s="1057"/>
      <c r="B937" s="1218"/>
      <c r="C937" s="1096" t="s">
        <v>708</v>
      </c>
      <c r="D937" s="1097" t="s">
        <v>650</v>
      </c>
      <c r="E937" s="1302">
        <v>8000</v>
      </c>
      <c r="F937" s="1302">
        <v>14000</v>
      </c>
      <c r="G937" s="1302">
        <v>0</v>
      </c>
      <c r="H937" s="1303">
        <f t="shared" si="198"/>
        <v>0</v>
      </c>
    </row>
    <row r="938" spans="1:8" ht="54" customHeight="1" thickBot="1">
      <c r="A938" s="1057"/>
      <c r="B938" s="1218"/>
      <c r="C938" s="1233" t="s">
        <v>788</v>
      </c>
      <c r="D938" s="1272" t="s">
        <v>612</v>
      </c>
      <c r="E938" s="1307">
        <v>0</v>
      </c>
      <c r="F938" s="1307">
        <v>47</v>
      </c>
      <c r="G938" s="1307">
        <v>46</v>
      </c>
      <c r="H938" s="1320">
        <f t="shared" si="198"/>
        <v>0.97872340425531912</v>
      </c>
    </row>
    <row r="939" spans="1:8" ht="28.5" customHeight="1" thickBot="1">
      <c r="A939" s="1051" t="s">
        <v>789</v>
      </c>
      <c r="B939" s="1052"/>
      <c r="C939" s="1053"/>
      <c r="D939" s="1054" t="s">
        <v>790</v>
      </c>
      <c r="E939" s="1055">
        <f>E940</f>
        <v>0</v>
      </c>
      <c r="F939" s="1055">
        <f t="shared" ref="F939:G940" si="205">F940</f>
        <v>1014606</v>
      </c>
      <c r="G939" s="1055">
        <f t="shared" si="205"/>
        <v>927917</v>
      </c>
      <c r="H939" s="1056">
        <f t="shared" si="198"/>
        <v>0.91455895194784975</v>
      </c>
    </row>
    <row r="940" spans="1:8" ht="39.75" customHeight="1" thickBot="1">
      <c r="A940" s="1057"/>
      <c r="B940" s="1144">
        <v>75109</v>
      </c>
      <c r="C940" s="1340"/>
      <c r="D940" s="1341" t="s">
        <v>410</v>
      </c>
      <c r="E940" s="1147">
        <f>E941</f>
        <v>0</v>
      </c>
      <c r="F940" s="1147">
        <f t="shared" si="205"/>
        <v>1014606</v>
      </c>
      <c r="G940" s="1147">
        <f t="shared" si="205"/>
        <v>927917</v>
      </c>
      <c r="H940" s="1148">
        <f t="shared" si="198"/>
        <v>0.91455895194784975</v>
      </c>
    </row>
    <row r="941" spans="1:8" ht="13.5" customHeight="1">
      <c r="A941" s="1057"/>
      <c r="B941" s="1218"/>
      <c r="C941" s="2112" t="s">
        <v>560</v>
      </c>
      <c r="D941" s="2112"/>
      <c r="E941" s="1063">
        <f>E942+E953</f>
        <v>0</v>
      </c>
      <c r="F941" s="1063">
        <f t="shared" ref="F941:G941" si="206">F942+F953</f>
        <v>1014606</v>
      </c>
      <c r="G941" s="1063">
        <f t="shared" si="206"/>
        <v>927917</v>
      </c>
      <c r="H941" s="1064">
        <f t="shared" si="198"/>
        <v>0.91455895194784975</v>
      </c>
    </row>
    <row r="942" spans="1:8" ht="18.75" customHeight="1">
      <c r="A942" s="1057"/>
      <c r="B942" s="1218"/>
      <c r="C942" s="2224" t="s">
        <v>561</v>
      </c>
      <c r="D942" s="2224"/>
      <c r="E942" s="1079">
        <f>E943+E948</f>
        <v>0</v>
      </c>
      <c r="F942" s="1079">
        <f t="shared" ref="F942:G942" si="207">F943+F948</f>
        <v>1008956</v>
      </c>
      <c r="G942" s="1079">
        <f t="shared" si="207"/>
        <v>924157</v>
      </c>
      <c r="H942" s="1080">
        <f t="shared" si="198"/>
        <v>0.91595371849713958</v>
      </c>
    </row>
    <row r="943" spans="1:8" ht="18.75" customHeight="1">
      <c r="A943" s="1057"/>
      <c r="B943" s="1218"/>
      <c r="C943" s="2236" t="s">
        <v>562</v>
      </c>
      <c r="D943" s="2236"/>
      <c r="E943" s="1115">
        <f>SUM(E944:E946)</f>
        <v>0</v>
      </c>
      <c r="F943" s="1115">
        <f t="shared" ref="F943:G943" si="208">SUM(F944:F946)</f>
        <v>698956</v>
      </c>
      <c r="G943" s="1115">
        <f t="shared" si="208"/>
        <v>644903</v>
      </c>
      <c r="H943" s="1116">
        <f t="shared" si="198"/>
        <v>0.92266609056936344</v>
      </c>
    </row>
    <row r="944" spans="1:8" ht="18" customHeight="1">
      <c r="A944" s="1057"/>
      <c r="B944" s="1218"/>
      <c r="C944" s="1357">
        <v>4110</v>
      </c>
      <c r="D944" s="1358" t="s">
        <v>566</v>
      </c>
      <c r="E944" s="1079">
        <v>0</v>
      </c>
      <c r="F944" s="1079">
        <v>126080</v>
      </c>
      <c r="G944" s="1079">
        <v>87782</v>
      </c>
      <c r="H944" s="1080">
        <f t="shared" ref="H944:H946" si="209">G944/F944</f>
        <v>0.69624048223350254</v>
      </c>
    </row>
    <row r="945" spans="1:8" ht="18" customHeight="1">
      <c r="A945" s="1057"/>
      <c r="B945" s="1218"/>
      <c r="C945" s="1357">
        <v>4120</v>
      </c>
      <c r="D945" s="1358" t="s">
        <v>567</v>
      </c>
      <c r="E945" s="1079">
        <v>0</v>
      </c>
      <c r="F945" s="1079">
        <v>17773</v>
      </c>
      <c r="G945" s="1079">
        <v>11721</v>
      </c>
      <c r="H945" s="1080">
        <f t="shared" si="209"/>
        <v>0.65948348618691277</v>
      </c>
    </row>
    <row r="946" spans="1:8" ht="18" customHeight="1">
      <c r="A946" s="1057"/>
      <c r="B946" s="1218"/>
      <c r="C946" s="1359" t="s">
        <v>568</v>
      </c>
      <c r="D946" s="1360" t="s">
        <v>569</v>
      </c>
      <c r="E946" s="1079">
        <v>0</v>
      </c>
      <c r="F946" s="1079">
        <v>555103</v>
      </c>
      <c r="G946" s="1079">
        <v>545400</v>
      </c>
      <c r="H946" s="1080">
        <f t="shared" si="209"/>
        <v>0.98252036108614083</v>
      </c>
    </row>
    <row r="947" spans="1:8" ht="18" customHeight="1">
      <c r="A947" s="1057"/>
      <c r="B947" s="1218"/>
      <c r="C947" s="1361"/>
      <c r="D947" s="1362"/>
      <c r="E947" s="1103"/>
      <c r="F947" s="1103"/>
      <c r="G947" s="1103"/>
      <c r="H947" s="1104"/>
    </row>
    <row r="948" spans="1:8" ht="18" customHeight="1">
      <c r="A948" s="1057"/>
      <c r="B948" s="1218"/>
      <c r="C948" s="2225" t="s">
        <v>570</v>
      </c>
      <c r="D948" s="2225"/>
      <c r="E948" s="1115">
        <f>SUM(E949:E951)</f>
        <v>0</v>
      </c>
      <c r="F948" s="1115">
        <f t="shared" ref="F948:G948" si="210">SUM(F949:F951)</f>
        <v>310000</v>
      </c>
      <c r="G948" s="1115">
        <f t="shared" si="210"/>
        <v>279254</v>
      </c>
      <c r="H948" s="1116">
        <f t="shared" ref="H948:H1011" si="211">G948/F948</f>
        <v>0.90081935483870967</v>
      </c>
    </row>
    <row r="949" spans="1:8" ht="18" customHeight="1">
      <c r="A949" s="1057"/>
      <c r="B949" s="1218"/>
      <c r="C949" s="1359" t="s">
        <v>143</v>
      </c>
      <c r="D949" s="1360" t="s">
        <v>573</v>
      </c>
      <c r="E949" s="1079">
        <v>0</v>
      </c>
      <c r="F949" s="1079">
        <v>25000</v>
      </c>
      <c r="G949" s="1079">
        <v>512</v>
      </c>
      <c r="H949" s="1080">
        <f t="shared" si="211"/>
        <v>2.0480000000000002E-2</v>
      </c>
    </row>
    <row r="950" spans="1:8" ht="18" customHeight="1">
      <c r="A950" s="1057"/>
      <c r="B950" s="1218"/>
      <c r="C950" s="1359" t="s">
        <v>574</v>
      </c>
      <c r="D950" s="1360" t="s">
        <v>575</v>
      </c>
      <c r="E950" s="1079">
        <v>0</v>
      </c>
      <c r="F950" s="1079">
        <v>5000</v>
      </c>
      <c r="G950" s="1079">
        <v>121</v>
      </c>
      <c r="H950" s="1080">
        <f t="shared" si="211"/>
        <v>2.4199999999999999E-2</v>
      </c>
    </row>
    <row r="951" spans="1:8" ht="13.5" customHeight="1">
      <c r="A951" s="1057"/>
      <c r="B951" s="1218"/>
      <c r="C951" s="1359" t="s">
        <v>25</v>
      </c>
      <c r="D951" s="1360" t="s">
        <v>581</v>
      </c>
      <c r="E951" s="1079">
        <v>0</v>
      </c>
      <c r="F951" s="1079">
        <v>280000</v>
      </c>
      <c r="G951" s="1079">
        <v>278621</v>
      </c>
      <c r="H951" s="1080">
        <f t="shared" si="211"/>
        <v>0.99507500000000004</v>
      </c>
    </row>
    <row r="952" spans="1:8" ht="16.5" customHeight="1">
      <c r="A952" s="1057"/>
      <c r="B952" s="1218"/>
      <c r="C952" s="1363"/>
      <c r="D952" s="1364"/>
      <c r="E952" s="1081"/>
      <c r="F952" s="1081"/>
      <c r="G952" s="1081"/>
      <c r="H952" s="1082"/>
    </row>
    <row r="953" spans="1:8" ht="14.25" customHeight="1">
      <c r="A953" s="1057"/>
      <c r="B953" s="1218"/>
      <c r="C953" s="2219" t="s">
        <v>779</v>
      </c>
      <c r="D953" s="2219"/>
      <c r="E953" s="1365">
        <f>E954</f>
        <v>0</v>
      </c>
      <c r="F953" s="1365">
        <f t="shared" ref="F953:G953" si="212">F954</f>
        <v>5650</v>
      </c>
      <c r="G953" s="1365">
        <f t="shared" si="212"/>
        <v>3760</v>
      </c>
      <c r="H953" s="1366">
        <f t="shared" si="211"/>
        <v>0.6654867256637168</v>
      </c>
    </row>
    <row r="954" spans="1:8" ht="18.75" customHeight="1" thickBot="1">
      <c r="A954" s="1057"/>
      <c r="B954" s="1218"/>
      <c r="C954" s="1359" t="s">
        <v>750</v>
      </c>
      <c r="D954" s="1360" t="s">
        <v>758</v>
      </c>
      <c r="E954" s="1365">
        <v>0</v>
      </c>
      <c r="F954" s="1365">
        <v>5650</v>
      </c>
      <c r="G954" s="1365">
        <v>3760</v>
      </c>
      <c r="H954" s="1366">
        <f t="shared" si="211"/>
        <v>0.6654867256637168</v>
      </c>
    </row>
    <row r="955" spans="1:8" ht="17.100000000000001" customHeight="1" thickBot="1">
      <c r="A955" s="1051" t="s">
        <v>134</v>
      </c>
      <c r="B955" s="1052"/>
      <c r="C955" s="1053"/>
      <c r="D955" s="1054" t="s">
        <v>791</v>
      </c>
      <c r="E955" s="1055">
        <f>E956+E960+E968+E980+E972</f>
        <v>1260000</v>
      </c>
      <c r="F955" s="1055">
        <f t="shared" ref="F955:G955" si="213">F956+F960+F968+F980+F972</f>
        <v>1319600</v>
      </c>
      <c r="G955" s="1055">
        <f t="shared" si="213"/>
        <v>1255201</v>
      </c>
      <c r="H955" s="1056">
        <f t="shared" si="211"/>
        <v>0.95119809033040315</v>
      </c>
    </row>
    <row r="956" spans="1:8" ht="13.5" thickBot="1">
      <c r="A956" s="1057"/>
      <c r="B956" s="1144" t="s">
        <v>792</v>
      </c>
      <c r="C956" s="1145"/>
      <c r="D956" s="1146" t="s">
        <v>793</v>
      </c>
      <c r="E956" s="1147">
        <f t="shared" ref="E956:G956" si="214">SUM(E957)</f>
        <v>350000</v>
      </c>
      <c r="F956" s="1147">
        <f t="shared" si="214"/>
        <v>350000</v>
      </c>
      <c r="G956" s="1147">
        <f t="shared" si="214"/>
        <v>345601</v>
      </c>
      <c r="H956" s="1148">
        <f t="shared" si="211"/>
        <v>0.98743142857142863</v>
      </c>
    </row>
    <row r="957" spans="1:8" ht="17.100000000000001" customHeight="1">
      <c r="A957" s="1057"/>
      <c r="B957" s="2259"/>
      <c r="C957" s="2148" t="s">
        <v>605</v>
      </c>
      <c r="D957" s="2264"/>
      <c r="E957" s="1063">
        <f t="shared" ref="E957:G958" si="215">E958</f>
        <v>350000</v>
      </c>
      <c r="F957" s="1063">
        <f t="shared" si="215"/>
        <v>350000</v>
      </c>
      <c r="G957" s="1063">
        <f t="shared" si="215"/>
        <v>345601</v>
      </c>
      <c r="H957" s="1064">
        <f t="shared" si="211"/>
        <v>0.98743142857142863</v>
      </c>
    </row>
    <row r="958" spans="1:8" ht="17.100000000000001" customHeight="1">
      <c r="A958" s="1057"/>
      <c r="B958" s="2259"/>
      <c r="C958" s="2219" t="s">
        <v>606</v>
      </c>
      <c r="D958" s="2240"/>
      <c r="E958" s="1079">
        <f t="shared" si="215"/>
        <v>350000</v>
      </c>
      <c r="F958" s="1079">
        <f t="shared" si="215"/>
        <v>350000</v>
      </c>
      <c r="G958" s="1079">
        <f t="shared" si="215"/>
        <v>345601</v>
      </c>
      <c r="H958" s="1080">
        <f t="shared" si="211"/>
        <v>0.98743142857142863</v>
      </c>
    </row>
    <row r="959" spans="1:8" ht="29.25" customHeight="1" thickBot="1">
      <c r="A959" s="1057"/>
      <c r="B959" s="2259"/>
      <c r="C959" s="1367" t="s">
        <v>794</v>
      </c>
      <c r="D959" s="1368" t="s">
        <v>795</v>
      </c>
      <c r="E959" s="1369">
        <v>350000</v>
      </c>
      <c r="F959" s="1369">
        <v>350000</v>
      </c>
      <c r="G959" s="1369">
        <v>345601</v>
      </c>
      <c r="H959" s="1370">
        <f t="shared" si="211"/>
        <v>0.98743142857142863</v>
      </c>
    </row>
    <row r="960" spans="1:8" ht="17.100000000000001" customHeight="1" thickBot="1">
      <c r="A960" s="1057"/>
      <c r="B960" s="1144" t="s">
        <v>796</v>
      </c>
      <c r="C960" s="1145"/>
      <c r="D960" s="1146" t="s">
        <v>797</v>
      </c>
      <c r="E960" s="1147">
        <f t="shared" ref="E960:G960" si="216">E961+E965</f>
        <v>150000</v>
      </c>
      <c r="F960" s="1147">
        <f t="shared" si="216"/>
        <v>150000</v>
      </c>
      <c r="G960" s="1147">
        <f t="shared" si="216"/>
        <v>150000</v>
      </c>
      <c r="H960" s="1148">
        <f t="shared" si="211"/>
        <v>1</v>
      </c>
    </row>
    <row r="961" spans="1:8" ht="17.100000000000001" hidden="1" customHeight="1">
      <c r="A961" s="1057"/>
      <c r="B961" s="2258"/>
      <c r="C961" s="2112" t="s">
        <v>560</v>
      </c>
      <c r="D961" s="2113"/>
      <c r="E961" s="1371"/>
      <c r="F961" s="1371"/>
      <c r="G961" s="1371"/>
      <c r="H961" s="1372" t="e">
        <f t="shared" si="211"/>
        <v>#DIV/0!</v>
      </c>
    </row>
    <row r="962" spans="1:8" ht="17.100000000000001" hidden="1" customHeight="1">
      <c r="A962" s="1057"/>
      <c r="B962" s="2258"/>
      <c r="C962" s="2219" t="s">
        <v>647</v>
      </c>
      <c r="D962" s="2261"/>
      <c r="E962" s="1373"/>
      <c r="F962" s="1373"/>
      <c r="G962" s="1373"/>
      <c r="H962" s="1374" t="e">
        <f t="shared" si="211"/>
        <v>#DIV/0!</v>
      </c>
    </row>
    <row r="963" spans="1:8" ht="17.100000000000001" hidden="1" customHeight="1">
      <c r="A963" s="1057"/>
      <c r="B963" s="2258"/>
      <c r="C963" s="1359" t="s">
        <v>798</v>
      </c>
      <c r="D963" s="1375" t="s">
        <v>799</v>
      </c>
      <c r="E963" s="1373"/>
      <c r="F963" s="1373"/>
      <c r="G963" s="1373"/>
      <c r="H963" s="1374" t="e">
        <f t="shared" si="211"/>
        <v>#DIV/0!</v>
      </c>
    </row>
    <row r="964" spans="1:8" ht="17.100000000000001" hidden="1" customHeight="1">
      <c r="A964" s="1057"/>
      <c r="B964" s="2259"/>
      <c r="C964" s="2262"/>
      <c r="D964" s="2263"/>
      <c r="E964" s="1376"/>
      <c r="F964" s="1376"/>
      <c r="G964" s="1376"/>
      <c r="H964" s="1377" t="e">
        <f t="shared" si="211"/>
        <v>#DIV/0!</v>
      </c>
    </row>
    <row r="965" spans="1:8" ht="17.100000000000001" customHeight="1">
      <c r="A965" s="1057"/>
      <c r="B965" s="2259"/>
      <c r="C965" s="2217" t="s">
        <v>605</v>
      </c>
      <c r="D965" s="2218"/>
      <c r="E965" s="1378">
        <f t="shared" ref="E965:G966" si="217">E966</f>
        <v>150000</v>
      </c>
      <c r="F965" s="1378">
        <f t="shared" si="217"/>
        <v>150000</v>
      </c>
      <c r="G965" s="1378">
        <f t="shared" si="217"/>
        <v>150000</v>
      </c>
      <c r="H965" s="1379">
        <f t="shared" si="211"/>
        <v>1</v>
      </c>
    </row>
    <row r="966" spans="1:8" ht="17.100000000000001" customHeight="1">
      <c r="A966" s="1057"/>
      <c r="B966" s="2259"/>
      <c r="C966" s="2219" t="s">
        <v>606</v>
      </c>
      <c r="D966" s="2240"/>
      <c r="E966" s="1380">
        <f t="shared" si="217"/>
        <v>150000</v>
      </c>
      <c r="F966" s="1380">
        <f t="shared" si="217"/>
        <v>150000</v>
      </c>
      <c r="G966" s="1380">
        <f t="shared" si="217"/>
        <v>150000</v>
      </c>
      <c r="H966" s="1381">
        <f t="shared" si="211"/>
        <v>1</v>
      </c>
    </row>
    <row r="967" spans="1:8" ht="27" customHeight="1" thickBot="1">
      <c r="A967" s="1057"/>
      <c r="B967" s="2260"/>
      <c r="C967" s="1382" t="s">
        <v>794</v>
      </c>
      <c r="D967" s="1383" t="s">
        <v>795</v>
      </c>
      <c r="E967" s="1384">
        <v>150000</v>
      </c>
      <c r="F967" s="1384">
        <v>150000</v>
      </c>
      <c r="G967" s="1384">
        <v>150000</v>
      </c>
      <c r="H967" s="1385">
        <f t="shared" si="211"/>
        <v>1</v>
      </c>
    </row>
    <row r="968" spans="1:8" ht="17.25" customHeight="1" thickBot="1">
      <c r="A968" s="1057"/>
      <c r="B968" s="1144" t="s">
        <v>800</v>
      </c>
      <c r="C968" s="1145"/>
      <c r="D968" s="1146" t="s">
        <v>801</v>
      </c>
      <c r="E968" s="1386">
        <f t="shared" ref="E968:G974" si="218">E969</f>
        <v>400000</v>
      </c>
      <c r="F968" s="1386">
        <f t="shared" si="218"/>
        <v>400000</v>
      </c>
      <c r="G968" s="1386">
        <f t="shared" si="218"/>
        <v>400000</v>
      </c>
      <c r="H968" s="1387">
        <f t="shared" si="211"/>
        <v>1</v>
      </c>
    </row>
    <row r="969" spans="1:8" ht="17.100000000000001" customHeight="1">
      <c r="A969" s="1057"/>
      <c r="B969" s="2256"/>
      <c r="C969" s="2112" t="s">
        <v>605</v>
      </c>
      <c r="D969" s="2112"/>
      <c r="E969" s="1388">
        <f t="shared" si="218"/>
        <v>400000</v>
      </c>
      <c r="F969" s="1388">
        <f t="shared" si="218"/>
        <v>400000</v>
      </c>
      <c r="G969" s="1388">
        <f t="shared" si="218"/>
        <v>400000</v>
      </c>
      <c r="H969" s="1389">
        <f t="shared" si="211"/>
        <v>1</v>
      </c>
    </row>
    <row r="970" spans="1:8" ht="17.100000000000001" customHeight="1">
      <c r="A970" s="1057"/>
      <c r="B970" s="2256"/>
      <c r="C970" s="2219" t="s">
        <v>606</v>
      </c>
      <c r="D970" s="2240"/>
      <c r="E970" s="1380">
        <f t="shared" si="218"/>
        <v>400000</v>
      </c>
      <c r="F970" s="1380">
        <f t="shared" si="218"/>
        <v>400000</v>
      </c>
      <c r="G970" s="1380">
        <f t="shared" si="218"/>
        <v>400000</v>
      </c>
      <c r="H970" s="1381">
        <f t="shared" si="211"/>
        <v>1</v>
      </c>
    </row>
    <row r="971" spans="1:8" ht="27" customHeight="1" thickBot="1">
      <c r="A971" s="1057"/>
      <c r="B971" s="2256"/>
      <c r="C971" s="1367" t="s">
        <v>794</v>
      </c>
      <c r="D971" s="1368" t="s">
        <v>795</v>
      </c>
      <c r="E971" s="1390">
        <v>400000</v>
      </c>
      <c r="F971" s="1390">
        <v>400000</v>
      </c>
      <c r="G971" s="1390">
        <v>400000</v>
      </c>
      <c r="H971" s="1391">
        <f t="shared" si="211"/>
        <v>1</v>
      </c>
    </row>
    <row r="972" spans="1:8" ht="18" customHeight="1" thickBot="1">
      <c r="A972" s="1057"/>
      <c r="B972" s="1144" t="s">
        <v>136</v>
      </c>
      <c r="C972" s="1145"/>
      <c r="D972" s="1146" t="s">
        <v>137</v>
      </c>
      <c r="E972" s="1386">
        <f>E973+E977</f>
        <v>0</v>
      </c>
      <c r="F972" s="1386">
        <f t="shared" ref="F972:G972" si="219">F973+F977</f>
        <v>59600</v>
      </c>
      <c r="G972" s="1386">
        <f t="shared" si="219"/>
        <v>59600</v>
      </c>
      <c r="H972" s="1387">
        <f t="shared" si="211"/>
        <v>1</v>
      </c>
    </row>
    <row r="973" spans="1:8" ht="18" customHeight="1">
      <c r="A973" s="1057"/>
      <c r="B973" s="1069"/>
      <c r="C973" s="2112" t="s">
        <v>560</v>
      </c>
      <c r="D973" s="2112"/>
      <c r="E973" s="1392">
        <f>E974</f>
        <v>0</v>
      </c>
      <c r="F973" s="1392">
        <f t="shared" si="218"/>
        <v>19600</v>
      </c>
      <c r="G973" s="1392">
        <f t="shared" si="218"/>
        <v>19600</v>
      </c>
      <c r="H973" s="1393">
        <f t="shared" si="211"/>
        <v>1</v>
      </c>
    </row>
    <row r="974" spans="1:8" ht="12.75" customHeight="1">
      <c r="A974" s="1394"/>
      <c r="B974" s="1395"/>
      <c r="C974" s="2219" t="s">
        <v>647</v>
      </c>
      <c r="D974" s="2219"/>
      <c r="E974" s="1380">
        <f>E975</f>
        <v>0</v>
      </c>
      <c r="F974" s="1380">
        <f t="shared" si="218"/>
        <v>19600</v>
      </c>
      <c r="G974" s="1380">
        <f t="shared" si="218"/>
        <v>19600</v>
      </c>
      <c r="H974" s="1381">
        <f t="shared" si="211"/>
        <v>1</v>
      </c>
    </row>
    <row r="975" spans="1:8" ht="26.25" customHeight="1">
      <c r="A975" s="1394"/>
      <c r="B975" s="1395"/>
      <c r="C975" s="1396" t="s">
        <v>19</v>
      </c>
      <c r="D975" s="1397" t="s">
        <v>719</v>
      </c>
      <c r="E975" s="1390">
        <v>0</v>
      </c>
      <c r="F975" s="1390">
        <v>19600</v>
      </c>
      <c r="G975" s="1390">
        <v>19600</v>
      </c>
      <c r="H975" s="1391">
        <f t="shared" si="211"/>
        <v>1</v>
      </c>
    </row>
    <row r="976" spans="1:8" ht="17.25" customHeight="1">
      <c r="A976" s="1394"/>
      <c r="B976" s="1395"/>
      <c r="C976" s="2230"/>
      <c r="D976" s="2257"/>
      <c r="E976" s="1390"/>
      <c r="F976" s="1390"/>
      <c r="G976" s="1390"/>
      <c r="H976" s="1391"/>
    </row>
    <row r="977" spans="1:8" ht="15" customHeight="1">
      <c r="A977" s="1394"/>
      <c r="B977" s="1395"/>
      <c r="C977" s="2217" t="s">
        <v>605</v>
      </c>
      <c r="D977" s="2218"/>
      <c r="E977" s="1398">
        <f>E978</f>
        <v>0</v>
      </c>
      <c r="F977" s="1398">
        <f t="shared" ref="F977:G978" si="220">F978</f>
        <v>40000</v>
      </c>
      <c r="G977" s="1398">
        <f t="shared" si="220"/>
        <v>40000</v>
      </c>
      <c r="H977" s="1399">
        <f t="shared" si="211"/>
        <v>1</v>
      </c>
    </row>
    <row r="978" spans="1:8" ht="18" customHeight="1">
      <c r="A978" s="1394"/>
      <c r="B978" s="1395"/>
      <c r="C978" s="2219" t="s">
        <v>606</v>
      </c>
      <c r="D978" s="2240"/>
      <c r="E978" s="1380">
        <f>E979</f>
        <v>0</v>
      </c>
      <c r="F978" s="1380">
        <f t="shared" si="220"/>
        <v>40000</v>
      </c>
      <c r="G978" s="1380">
        <f t="shared" si="220"/>
        <v>40000</v>
      </c>
      <c r="H978" s="1381">
        <f t="shared" si="211"/>
        <v>1</v>
      </c>
    </row>
    <row r="979" spans="1:8" ht="42.75" customHeight="1" thickBot="1">
      <c r="A979" s="1394"/>
      <c r="B979" s="1395"/>
      <c r="C979" s="1382" t="s">
        <v>22</v>
      </c>
      <c r="D979" s="1383" t="s">
        <v>711</v>
      </c>
      <c r="E979" s="1384">
        <v>0</v>
      </c>
      <c r="F979" s="1384">
        <v>40000</v>
      </c>
      <c r="G979" s="1384">
        <v>40000</v>
      </c>
      <c r="H979" s="1385">
        <f t="shared" si="211"/>
        <v>1</v>
      </c>
    </row>
    <row r="980" spans="1:8" ht="17.100000000000001" customHeight="1" thickBot="1">
      <c r="A980" s="1394"/>
      <c r="B980" s="1144" t="s">
        <v>802</v>
      </c>
      <c r="C980" s="1145"/>
      <c r="D980" s="1146" t="s">
        <v>411</v>
      </c>
      <c r="E980" s="1386">
        <f t="shared" ref="E980:G982" si="221">E981</f>
        <v>360000</v>
      </c>
      <c r="F980" s="1386">
        <f t="shared" si="221"/>
        <v>360000</v>
      </c>
      <c r="G980" s="1386">
        <f t="shared" si="221"/>
        <v>300000</v>
      </c>
      <c r="H980" s="1387">
        <f t="shared" si="211"/>
        <v>0.83333333333333337</v>
      </c>
    </row>
    <row r="981" spans="1:8" ht="17.100000000000001" customHeight="1">
      <c r="A981" s="1394"/>
      <c r="B981" s="2154"/>
      <c r="C981" s="2112" t="s">
        <v>560</v>
      </c>
      <c r="D981" s="2112"/>
      <c r="E981" s="1388">
        <f t="shared" si="221"/>
        <v>360000</v>
      </c>
      <c r="F981" s="1388">
        <f t="shared" si="221"/>
        <v>360000</v>
      </c>
      <c r="G981" s="1388">
        <f t="shared" si="221"/>
        <v>300000</v>
      </c>
      <c r="H981" s="1389">
        <f t="shared" si="211"/>
        <v>0.83333333333333337</v>
      </c>
    </row>
    <row r="982" spans="1:8" ht="17.100000000000001" customHeight="1">
      <c r="A982" s="1394"/>
      <c r="B982" s="2154"/>
      <c r="C982" s="2219" t="s">
        <v>647</v>
      </c>
      <c r="D982" s="2219"/>
      <c r="E982" s="1380">
        <f t="shared" si="221"/>
        <v>360000</v>
      </c>
      <c r="F982" s="1380">
        <f t="shared" si="221"/>
        <v>360000</v>
      </c>
      <c r="G982" s="1380">
        <f t="shared" si="221"/>
        <v>300000</v>
      </c>
      <c r="H982" s="1381">
        <f t="shared" si="211"/>
        <v>0.83333333333333337</v>
      </c>
    </row>
    <row r="983" spans="1:8" ht="44.25" customHeight="1" thickBot="1">
      <c r="A983" s="1394"/>
      <c r="B983" s="2154"/>
      <c r="C983" s="1367" t="s">
        <v>125</v>
      </c>
      <c r="D983" s="1368" t="s">
        <v>656</v>
      </c>
      <c r="E983" s="1390">
        <v>360000</v>
      </c>
      <c r="F983" s="1390">
        <v>360000</v>
      </c>
      <c r="G983" s="1390">
        <v>300000</v>
      </c>
      <c r="H983" s="1391">
        <f t="shared" si="211"/>
        <v>0.83333333333333337</v>
      </c>
    </row>
    <row r="984" spans="1:8" ht="17.100000000000001" customHeight="1" thickBot="1">
      <c r="A984" s="1051" t="s">
        <v>803</v>
      </c>
      <c r="B984" s="1168"/>
      <c r="C984" s="1169"/>
      <c r="D984" s="1170" t="s">
        <v>804</v>
      </c>
      <c r="E984" s="1400">
        <f t="shared" ref="E984:G984" si="222">E985+E989</f>
        <v>21285562</v>
      </c>
      <c r="F984" s="1400">
        <f t="shared" si="222"/>
        <v>11000000</v>
      </c>
      <c r="G984" s="1400">
        <f t="shared" si="222"/>
        <v>6240822</v>
      </c>
      <c r="H984" s="1401">
        <f t="shared" si="211"/>
        <v>0.56734745454545454</v>
      </c>
    </row>
    <row r="985" spans="1:8" ht="30" customHeight="1" thickBot="1">
      <c r="A985" s="1394"/>
      <c r="B985" s="1144" t="s">
        <v>805</v>
      </c>
      <c r="C985" s="1145"/>
      <c r="D985" s="1402" t="s">
        <v>806</v>
      </c>
      <c r="E985" s="1403">
        <f t="shared" ref="E985:G987" si="223">E986</f>
        <v>11000000</v>
      </c>
      <c r="F985" s="1403">
        <f t="shared" si="223"/>
        <v>11000000</v>
      </c>
      <c r="G985" s="1403">
        <f t="shared" si="223"/>
        <v>6240822</v>
      </c>
      <c r="H985" s="1404">
        <f t="shared" si="211"/>
        <v>0.56734745454545454</v>
      </c>
    </row>
    <row r="986" spans="1:8" ht="17.100000000000001" customHeight="1">
      <c r="A986" s="1394"/>
      <c r="B986" s="2154"/>
      <c r="C986" s="2112" t="s">
        <v>560</v>
      </c>
      <c r="D986" s="2113"/>
      <c r="E986" s="1371">
        <f t="shared" si="223"/>
        <v>11000000</v>
      </c>
      <c r="F986" s="1371">
        <f t="shared" si="223"/>
        <v>11000000</v>
      </c>
      <c r="G986" s="1371">
        <f t="shared" si="223"/>
        <v>6240822</v>
      </c>
      <c r="H986" s="1372">
        <f t="shared" si="211"/>
        <v>0.56734745454545454</v>
      </c>
    </row>
    <row r="987" spans="1:8" ht="17.100000000000001" customHeight="1">
      <c r="A987" s="1394"/>
      <c r="B987" s="2154"/>
      <c r="C987" s="2224" t="s">
        <v>807</v>
      </c>
      <c r="D987" s="2250"/>
      <c r="E987" s="1373">
        <f t="shared" si="223"/>
        <v>11000000</v>
      </c>
      <c r="F987" s="1373">
        <f t="shared" si="223"/>
        <v>11000000</v>
      </c>
      <c r="G987" s="1373">
        <f t="shared" si="223"/>
        <v>6240822</v>
      </c>
      <c r="H987" s="1374">
        <f t="shared" si="211"/>
        <v>0.56734745454545454</v>
      </c>
    </row>
    <row r="988" spans="1:8" ht="27.75" customHeight="1" thickBot="1">
      <c r="A988" s="1394"/>
      <c r="B988" s="2154"/>
      <c r="C988" s="1367" t="s">
        <v>808</v>
      </c>
      <c r="D988" s="1405" t="s">
        <v>809</v>
      </c>
      <c r="E988" s="1406">
        <v>11000000</v>
      </c>
      <c r="F988" s="1406">
        <v>11000000</v>
      </c>
      <c r="G988" s="1406">
        <v>6240822</v>
      </c>
      <c r="H988" s="1407">
        <f t="shared" si="211"/>
        <v>0.56734745454545454</v>
      </c>
    </row>
    <row r="989" spans="1:8" ht="26.25" customHeight="1" thickBot="1">
      <c r="A989" s="1394"/>
      <c r="B989" s="1144" t="s">
        <v>810</v>
      </c>
      <c r="C989" s="1145"/>
      <c r="D989" s="1402" t="s">
        <v>811</v>
      </c>
      <c r="E989" s="1403">
        <f t="shared" ref="E989:G991" si="224">E990</f>
        <v>10285562</v>
      </c>
      <c r="F989" s="1403">
        <f t="shared" si="224"/>
        <v>0</v>
      </c>
      <c r="G989" s="1403">
        <f t="shared" si="224"/>
        <v>0</v>
      </c>
      <c r="H989" s="1404"/>
    </row>
    <row r="990" spans="1:8" ht="17.100000000000001" customHeight="1">
      <c r="A990" s="1408"/>
      <c r="B990" s="2154"/>
      <c r="C990" s="2112" t="s">
        <v>560</v>
      </c>
      <c r="D990" s="2113"/>
      <c r="E990" s="1371">
        <f t="shared" si="224"/>
        <v>10285562</v>
      </c>
      <c r="F990" s="1371">
        <f t="shared" si="224"/>
        <v>0</v>
      </c>
      <c r="G990" s="1371">
        <f t="shared" si="224"/>
        <v>0</v>
      </c>
      <c r="H990" s="1372"/>
    </row>
    <row r="991" spans="1:8" ht="17.100000000000001" customHeight="1">
      <c r="A991" s="1408"/>
      <c r="B991" s="2154"/>
      <c r="C991" s="2224" t="s">
        <v>812</v>
      </c>
      <c r="D991" s="2250"/>
      <c r="E991" s="1373">
        <f t="shared" si="224"/>
        <v>10285562</v>
      </c>
      <c r="F991" s="1373">
        <f t="shared" si="224"/>
        <v>0</v>
      </c>
      <c r="G991" s="1373">
        <f t="shared" si="224"/>
        <v>0</v>
      </c>
      <c r="H991" s="1374"/>
    </row>
    <row r="992" spans="1:8" ht="17.100000000000001" customHeight="1" thickBot="1">
      <c r="A992" s="1394"/>
      <c r="B992" s="2156"/>
      <c r="C992" s="1382" t="s">
        <v>813</v>
      </c>
      <c r="D992" s="1409" t="s">
        <v>814</v>
      </c>
      <c r="E992" s="1410">
        <f>5060562+5225000</f>
        <v>10285562</v>
      </c>
      <c r="F992" s="1410">
        <v>0</v>
      </c>
      <c r="G992" s="1410">
        <v>0</v>
      </c>
      <c r="H992" s="1411"/>
    </row>
    <row r="993" spans="1:8" ht="17.100000000000001" customHeight="1" thickBot="1">
      <c r="A993" s="1051" t="s">
        <v>815</v>
      </c>
      <c r="B993" s="1052"/>
      <c r="C993" s="1053"/>
      <c r="D993" s="1412" t="s">
        <v>816</v>
      </c>
      <c r="E993" s="1413">
        <f>E994+E998</f>
        <v>45788999</v>
      </c>
      <c r="F993" s="1413">
        <f>F994+F998</f>
        <v>5433282</v>
      </c>
      <c r="G993" s="1413">
        <f t="shared" ref="G993" si="225">G994+G998</f>
        <v>302285</v>
      </c>
      <c r="H993" s="1414">
        <f t="shared" si="211"/>
        <v>5.563580171248244E-2</v>
      </c>
    </row>
    <row r="994" spans="1:8" ht="17.100000000000001" customHeight="1" thickBot="1">
      <c r="A994" s="1415"/>
      <c r="B994" s="1416" t="s">
        <v>817</v>
      </c>
      <c r="C994" s="1417"/>
      <c r="D994" s="1418" t="s">
        <v>426</v>
      </c>
      <c r="E994" s="1419">
        <f>E995</f>
        <v>0</v>
      </c>
      <c r="F994" s="1419">
        <f t="shared" ref="F994:G996" si="226">F995</f>
        <v>302285</v>
      </c>
      <c r="G994" s="1419">
        <f t="shared" si="226"/>
        <v>302285</v>
      </c>
      <c r="H994" s="1420">
        <f>G994/F994</f>
        <v>1</v>
      </c>
    </row>
    <row r="995" spans="1:8" ht="17.100000000000001" customHeight="1">
      <c r="A995" s="1415"/>
      <c r="B995" s="2181"/>
      <c r="C995" s="2252" t="s">
        <v>560</v>
      </c>
      <c r="D995" s="2253"/>
      <c r="E995" s="1421">
        <f>E996</f>
        <v>0</v>
      </c>
      <c r="F995" s="1421">
        <f t="shared" si="226"/>
        <v>302285</v>
      </c>
      <c r="G995" s="1421">
        <f t="shared" si="226"/>
        <v>302285</v>
      </c>
      <c r="H995" s="1422">
        <f>G995/F995</f>
        <v>1</v>
      </c>
    </row>
    <row r="996" spans="1:8" ht="17.100000000000001" customHeight="1">
      <c r="A996" s="1415"/>
      <c r="B996" s="2182"/>
      <c r="C996" s="2254" t="s">
        <v>647</v>
      </c>
      <c r="D996" s="2255"/>
      <c r="E996" s="1423">
        <f>E997</f>
        <v>0</v>
      </c>
      <c r="F996" s="1423">
        <f t="shared" si="226"/>
        <v>302285</v>
      </c>
      <c r="G996" s="1423">
        <f t="shared" si="226"/>
        <v>302285</v>
      </c>
      <c r="H996" s="1424">
        <f>G996/F996</f>
        <v>1</v>
      </c>
    </row>
    <row r="997" spans="1:8" ht="30" customHeight="1" thickBot="1">
      <c r="A997" s="1415"/>
      <c r="B997" s="2183"/>
      <c r="C997" s="1425" t="s">
        <v>818</v>
      </c>
      <c r="D997" s="1426" t="s">
        <v>819</v>
      </c>
      <c r="E997" s="1427">
        <v>0</v>
      </c>
      <c r="F997" s="1427">
        <v>302285</v>
      </c>
      <c r="G997" s="1427">
        <v>302285</v>
      </c>
      <c r="H997" s="1424">
        <f>G997/F997</f>
        <v>1</v>
      </c>
    </row>
    <row r="998" spans="1:8" ht="17.100000000000001" customHeight="1" thickBot="1">
      <c r="A998" s="1394"/>
      <c r="B998" s="1144" t="s">
        <v>820</v>
      </c>
      <c r="C998" s="1145"/>
      <c r="D998" s="1402" t="s">
        <v>821</v>
      </c>
      <c r="E998" s="1403">
        <f t="shared" ref="E998:G998" si="227">E999+E1004</f>
        <v>45788999</v>
      </c>
      <c r="F998" s="1403">
        <f t="shared" si="227"/>
        <v>5130997</v>
      </c>
      <c r="G998" s="1403">
        <f t="shared" si="227"/>
        <v>0</v>
      </c>
      <c r="H998" s="1404">
        <f t="shared" si="211"/>
        <v>0</v>
      </c>
    </row>
    <row r="999" spans="1:8" ht="17.100000000000001" customHeight="1">
      <c r="A999" s="1394"/>
      <c r="B999" s="2154"/>
      <c r="C999" s="2112" t="s">
        <v>560</v>
      </c>
      <c r="D999" s="2113"/>
      <c r="E999" s="1371">
        <f t="shared" ref="E999:G1001" si="228">E1000</f>
        <v>19288999</v>
      </c>
      <c r="F999" s="1371">
        <f t="shared" si="228"/>
        <v>2646278</v>
      </c>
      <c r="G999" s="1371">
        <f t="shared" si="228"/>
        <v>0</v>
      </c>
      <c r="H999" s="1372">
        <f t="shared" si="211"/>
        <v>0</v>
      </c>
    </row>
    <row r="1000" spans="1:8" ht="17.100000000000001" customHeight="1">
      <c r="A1000" s="1394"/>
      <c r="B1000" s="2154"/>
      <c r="C1000" s="2224" t="s">
        <v>561</v>
      </c>
      <c r="D1000" s="2250"/>
      <c r="E1000" s="1373">
        <f t="shared" si="228"/>
        <v>19288999</v>
      </c>
      <c r="F1000" s="1373">
        <f t="shared" si="228"/>
        <v>2646278</v>
      </c>
      <c r="G1000" s="1373">
        <f t="shared" si="228"/>
        <v>0</v>
      </c>
      <c r="H1000" s="1374">
        <f t="shared" si="211"/>
        <v>0</v>
      </c>
    </row>
    <row r="1001" spans="1:8" ht="17.100000000000001" customHeight="1">
      <c r="A1001" s="1394"/>
      <c r="B1001" s="2154"/>
      <c r="C1001" s="2225" t="s">
        <v>570</v>
      </c>
      <c r="D1001" s="2251"/>
      <c r="E1001" s="1428">
        <f t="shared" si="228"/>
        <v>19288999</v>
      </c>
      <c r="F1001" s="1428">
        <f t="shared" si="228"/>
        <v>2646278</v>
      </c>
      <c r="G1001" s="1428">
        <f t="shared" si="228"/>
        <v>0</v>
      </c>
      <c r="H1001" s="1429">
        <f t="shared" si="211"/>
        <v>0</v>
      </c>
    </row>
    <row r="1002" spans="1:8" ht="17.100000000000001" customHeight="1">
      <c r="A1002" s="1394"/>
      <c r="B1002" s="2154"/>
      <c r="C1002" s="1367" t="s">
        <v>822</v>
      </c>
      <c r="D1002" s="1405" t="s">
        <v>823</v>
      </c>
      <c r="E1002" s="1406">
        <v>19288999</v>
      </c>
      <c r="F1002" s="1406">
        <v>2646278</v>
      </c>
      <c r="G1002" s="1406">
        <v>0</v>
      </c>
      <c r="H1002" s="1407">
        <f t="shared" si="211"/>
        <v>0</v>
      </c>
    </row>
    <row r="1003" spans="1:8" ht="17.100000000000001" customHeight="1">
      <c r="A1003" s="1394"/>
      <c r="B1003" s="2154"/>
      <c r="C1003" s="1430"/>
      <c r="D1003" s="1431"/>
      <c r="E1003" s="1432"/>
      <c r="F1003" s="1432"/>
      <c r="G1003" s="1432"/>
      <c r="H1003" s="1433"/>
    </row>
    <row r="1004" spans="1:8" ht="17.100000000000001" customHeight="1">
      <c r="A1004" s="1394"/>
      <c r="B1004" s="2154"/>
      <c r="C1004" s="2148" t="s">
        <v>605</v>
      </c>
      <c r="D1004" s="2248"/>
      <c r="E1004" s="1371">
        <f t="shared" ref="E1004:G1005" si="229">E1005</f>
        <v>26500000</v>
      </c>
      <c r="F1004" s="1371">
        <f t="shared" si="229"/>
        <v>2484719</v>
      </c>
      <c r="G1004" s="1371">
        <f t="shared" si="229"/>
        <v>0</v>
      </c>
      <c r="H1004" s="1372">
        <f t="shared" si="211"/>
        <v>0</v>
      </c>
    </row>
    <row r="1005" spans="1:8" ht="17.100000000000001" customHeight="1">
      <c r="A1005" s="1394"/>
      <c r="B1005" s="2154"/>
      <c r="C1005" s="2219" t="s">
        <v>606</v>
      </c>
      <c r="D1005" s="2249"/>
      <c r="E1005" s="1373">
        <f t="shared" si="229"/>
        <v>26500000</v>
      </c>
      <c r="F1005" s="1373">
        <f t="shared" si="229"/>
        <v>2484719</v>
      </c>
      <c r="G1005" s="1373">
        <f t="shared" si="229"/>
        <v>0</v>
      </c>
      <c r="H1005" s="1374">
        <f t="shared" si="211"/>
        <v>0</v>
      </c>
    </row>
    <row r="1006" spans="1:8" ht="17.100000000000001" customHeight="1" thickBot="1">
      <c r="A1006" s="1394"/>
      <c r="B1006" s="2154"/>
      <c r="C1006" s="1107" t="s">
        <v>824</v>
      </c>
      <c r="D1006" s="1434" t="s">
        <v>825</v>
      </c>
      <c r="E1006" s="1406">
        <f>26000000+500000</f>
        <v>26500000</v>
      </c>
      <c r="F1006" s="1406">
        <v>2484719</v>
      </c>
      <c r="G1006" s="1406">
        <v>0</v>
      </c>
      <c r="H1006" s="1407">
        <f t="shared" si="211"/>
        <v>0</v>
      </c>
    </row>
    <row r="1007" spans="1:8" ht="13.5" thickBot="1">
      <c r="A1007" s="1051" t="s">
        <v>84</v>
      </c>
      <c r="B1007" s="1052"/>
      <c r="C1007" s="1435"/>
      <c r="D1007" s="1436" t="s">
        <v>826</v>
      </c>
      <c r="E1007" s="1055">
        <f>SUM(E1008,E1012,E1043,E1065,E1082,E1135,E1204,E1276,E1255,E1060,E1270)</f>
        <v>61715346</v>
      </c>
      <c r="F1007" s="1055">
        <f>SUM(F1008,F1012,F1043,F1065,F1082,F1135,F1204,F1276,F1255,F1060,F1270)</f>
        <v>74633575</v>
      </c>
      <c r="G1007" s="1055">
        <f>SUM(G1008,G1012,G1043,G1065,G1082,G1135,G1204,G1276,G1255,G1060,G1270)</f>
        <v>70885290</v>
      </c>
      <c r="H1007" s="1056">
        <f t="shared" si="211"/>
        <v>0.94977749625419927</v>
      </c>
    </row>
    <row r="1008" spans="1:8" ht="17.25" customHeight="1" thickBot="1">
      <c r="A1008" s="1415"/>
      <c r="B1008" s="1144" t="s">
        <v>138</v>
      </c>
      <c r="C1008" s="1145"/>
      <c r="D1008" s="1146" t="s">
        <v>139</v>
      </c>
      <c r="E1008" s="1147">
        <f>E1009</f>
        <v>0</v>
      </c>
      <c r="F1008" s="1147">
        <f t="shared" ref="F1008:G1010" si="230">F1009</f>
        <v>30000</v>
      </c>
      <c r="G1008" s="1147">
        <f t="shared" si="230"/>
        <v>30000</v>
      </c>
      <c r="H1008" s="1148">
        <f t="shared" si="211"/>
        <v>1</v>
      </c>
    </row>
    <row r="1009" spans="1:8" ht="15" customHeight="1">
      <c r="A1009" s="1415"/>
      <c r="B1009" s="2181"/>
      <c r="C1009" s="2148" t="s">
        <v>605</v>
      </c>
      <c r="D1009" s="2248"/>
      <c r="E1009" s="1294">
        <f>E1010</f>
        <v>0</v>
      </c>
      <c r="F1009" s="1294">
        <f t="shared" si="230"/>
        <v>30000</v>
      </c>
      <c r="G1009" s="1294">
        <f t="shared" si="230"/>
        <v>30000</v>
      </c>
      <c r="H1009" s="1295">
        <f t="shared" si="211"/>
        <v>1</v>
      </c>
    </row>
    <row r="1010" spans="1:8" ht="18" customHeight="1">
      <c r="A1010" s="1415"/>
      <c r="B1010" s="2182"/>
      <c r="C1010" s="2219" t="s">
        <v>606</v>
      </c>
      <c r="D1010" s="2249"/>
      <c r="E1010" s="1437">
        <f>E1011</f>
        <v>0</v>
      </c>
      <c r="F1010" s="1437">
        <f t="shared" si="230"/>
        <v>30000</v>
      </c>
      <c r="G1010" s="1437">
        <f t="shared" si="230"/>
        <v>30000</v>
      </c>
      <c r="H1010" s="1438">
        <f t="shared" si="211"/>
        <v>1</v>
      </c>
    </row>
    <row r="1011" spans="1:8" ht="43.5" customHeight="1" thickBot="1">
      <c r="A1011" s="1415"/>
      <c r="B1011" s="2183"/>
      <c r="C1011" s="1107" t="s">
        <v>22</v>
      </c>
      <c r="D1011" s="1434" t="s">
        <v>711</v>
      </c>
      <c r="E1011" s="1270">
        <v>0</v>
      </c>
      <c r="F1011" s="1270">
        <v>30000</v>
      </c>
      <c r="G1011" s="1270">
        <v>30000</v>
      </c>
      <c r="H1011" s="1271">
        <f t="shared" si="211"/>
        <v>1</v>
      </c>
    </row>
    <row r="1012" spans="1:8" ht="17.100000000000001" customHeight="1" thickBot="1">
      <c r="A1012" s="1439"/>
      <c r="B1012" s="1144" t="s">
        <v>827</v>
      </c>
      <c r="C1012" s="1145"/>
      <c r="D1012" s="1146" t="s">
        <v>448</v>
      </c>
      <c r="E1012" s="1147">
        <f>E1013+E1040</f>
        <v>5479869</v>
      </c>
      <c r="F1012" s="1147">
        <f t="shared" ref="F1012:G1012" si="231">F1013+F1040</f>
        <v>5865695</v>
      </c>
      <c r="G1012" s="1147">
        <f t="shared" si="231"/>
        <v>5786273</v>
      </c>
      <c r="H1012" s="1148">
        <f t="shared" ref="H1012:H1078" si="232">G1012/F1012</f>
        <v>0.98645991651458187</v>
      </c>
    </row>
    <row r="1013" spans="1:8" ht="17.100000000000001" customHeight="1">
      <c r="A1013" s="1394"/>
      <c r="B1013" s="1395"/>
      <c r="C1013" s="2112" t="s">
        <v>560</v>
      </c>
      <c r="D1013" s="2112"/>
      <c r="E1013" s="1063">
        <f>E1014+E1037</f>
        <v>5454869</v>
      </c>
      <c r="F1013" s="1063">
        <f t="shared" ref="F1013:G1013" si="233">F1014+F1037</f>
        <v>5865695</v>
      </c>
      <c r="G1013" s="1063">
        <f t="shared" si="233"/>
        <v>5786273</v>
      </c>
      <c r="H1013" s="1064">
        <f t="shared" si="232"/>
        <v>0.98645991651458187</v>
      </c>
    </row>
    <row r="1014" spans="1:8" ht="17.100000000000001" customHeight="1">
      <c r="A1014" s="1394"/>
      <c r="B1014" s="1395"/>
      <c r="C1014" s="2224" t="s">
        <v>561</v>
      </c>
      <c r="D1014" s="2224"/>
      <c r="E1014" s="1079">
        <f t="shared" ref="E1014:G1014" si="234">E1015+E1022</f>
        <v>5324569</v>
      </c>
      <c r="F1014" s="1079">
        <f t="shared" si="234"/>
        <v>5636707</v>
      </c>
      <c r="G1014" s="1079">
        <f t="shared" si="234"/>
        <v>5560537</v>
      </c>
      <c r="H1014" s="1080">
        <f t="shared" si="232"/>
        <v>0.98648679095791214</v>
      </c>
    </row>
    <row r="1015" spans="1:8" ht="17.100000000000001" customHeight="1">
      <c r="A1015" s="1394"/>
      <c r="B1015" s="1395"/>
      <c r="C1015" s="2236" t="s">
        <v>562</v>
      </c>
      <c r="D1015" s="2236"/>
      <c r="E1015" s="1115">
        <f t="shared" ref="E1015:G1015" si="235">SUM(E1016:E1020)</f>
        <v>4966644</v>
      </c>
      <c r="F1015" s="1115">
        <f t="shared" si="235"/>
        <v>5227607</v>
      </c>
      <c r="G1015" s="1115">
        <f t="shared" si="235"/>
        <v>5158483</v>
      </c>
      <c r="H1015" s="1116">
        <f t="shared" si="232"/>
        <v>0.98677712383505489</v>
      </c>
    </row>
    <row r="1016" spans="1:8" ht="17.100000000000001" customHeight="1">
      <c r="A1016" s="1394"/>
      <c r="B1016" s="1395"/>
      <c r="C1016" s="1359" t="s">
        <v>145</v>
      </c>
      <c r="D1016" s="1360" t="s">
        <v>563</v>
      </c>
      <c r="E1016" s="1079">
        <v>3830430</v>
      </c>
      <c r="F1016" s="1079">
        <v>4057942</v>
      </c>
      <c r="G1016" s="1079">
        <v>4032589</v>
      </c>
      <c r="H1016" s="1080">
        <f t="shared" si="232"/>
        <v>0.99375225175717152</v>
      </c>
    </row>
    <row r="1017" spans="1:8" ht="17.100000000000001" customHeight="1">
      <c r="A1017" s="1394"/>
      <c r="B1017" s="1395"/>
      <c r="C1017" s="1359" t="s">
        <v>564</v>
      </c>
      <c r="D1017" s="1360" t="s">
        <v>565</v>
      </c>
      <c r="E1017" s="1079">
        <v>309868</v>
      </c>
      <c r="F1017" s="1079">
        <v>309705</v>
      </c>
      <c r="G1017" s="1079">
        <v>309705</v>
      </c>
      <c r="H1017" s="1080">
        <f t="shared" si="232"/>
        <v>1</v>
      </c>
    </row>
    <row r="1018" spans="1:8" ht="17.100000000000001" customHeight="1">
      <c r="A1018" s="1394"/>
      <c r="B1018" s="1395"/>
      <c r="C1018" s="1359" t="s">
        <v>146</v>
      </c>
      <c r="D1018" s="1360" t="s">
        <v>566</v>
      </c>
      <c r="E1018" s="1079">
        <v>723814</v>
      </c>
      <c r="F1018" s="1079">
        <v>745148</v>
      </c>
      <c r="G1018" s="1079">
        <v>725093</v>
      </c>
      <c r="H1018" s="1080">
        <f t="shared" si="232"/>
        <v>0.97308588360969905</v>
      </c>
    </row>
    <row r="1019" spans="1:8" ht="17.100000000000001" customHeight="1">
      <c r="A1019" s="1394"/>
      <c r="B1019" s="1395"/>
      <c r="C1019" s="1359" t="s">
        <v>147</v>
      </c>
      <c r="D1019" s="1360" t="s">
        <v>567</v>
      </c>
      <c r="E1019" s="1079">
        <v>100732</v>
      </c>
      <c r="F1019" s="1079">
        <v>110012</v>
      </c>
      <c r="G1019" s="1079">
        <v>86796</v>
      </c>
      <c r="H1019" s="1080">
        <f t="shared" si="232"/>
        <v>0.78896847616623644</v>
      </c>
    </row>
    <row r="1020" spans="1:8" ht="17.100000000000001" customHeight="1">
      <c r="A1020" s="1394"/>
      <c r="B1020" s="1395"/>
      <c r="C1020" s="1359" t="s">
        <v>568</v>
      </c>
      <c r="D1020" s="1360" t="s">
        <v>828</v>
      </c>
      <c r="E1020" s="1079">
        <v>1800</v>
      </c>
      <c r="F1020" s="1079">
        <v>4800</v>
      </c>
      <c r="G1020" s="1079">
        <v>4300</v>
      </c>
      <c r="H1020" s="1080">
        <f t="shared" si="232"/>
        <v>0.89583333333333337</v>
      </c>
    </row>
    <row r="1021" spans="1:8" ht="17.100000000000001" customHeight="1">
      <c r="A1021" s="1394"/>
      <c r="B1021" s="1395"/>
      <c r="C1021" s="1098"/>
      <c r="D1021" s="1098"/>
      <c r="E1021" s="1440"/>
      <c r="F1021" s="1440"/>
      <c r="G1021" s="1440"/>
      <c r="H1021" s="1441"/>
    </row>
    <row r="1022" spans="1:8" ht="17.100000000000001" customHeight="1">
      <c r="A1022" s="1394"/>
      <c r="B1022" s="1395"/>
      <c r="C1022" s="2225" t="s">
        <v>570</v>
      </c>
      <c r="D1022" s="2225"/>
      <c r="E1022" s="1115">
        <f>SUM(E1023:E1035)</f>
        <v>357925</v>
      </c>
      <c r="F1022" s="1115">
        <f t="shared" ref="F1022:G1022" si="236">SUM(F1023:F1035)</f>
        <v>409100</v>
      </c>
      <c r="G1022" s="1115">
        <f t="shared" si="236"/>
        <v>402054</v>
      </c>
      <c r="H1022" s="1116">
        <f t="shared" si="232"/>
        <v>0.98277682718161818</v>
      </c>
    </row>
    <row r="1023" spans="1:8" ht="17.100000000000001" customHeight="1">
      <c r="A1023" s="1394"/>
      <c r="B1023" s="1395"/>
      <c r="C1023" s="1359" t="s">
        <v>143</v>
      </c>
      <c r="D1023" s="1360" t="s">
        <v>573</v>
      </c>
      <c r="E1023" s="1079">
        <v>27362</v>
      </c>
      <c r="F1023" s="1079">
        <v>82662</v>
      </c>
      <c r="G1023" s="1079">
        <v>82661</v>
      </c>
      <c r="H1023" s="1080">
        <f t="shared" si="232"/>
        <v>0.9999879025428855</v>
      </c>
    </row>
    <row r="1024" spans="1:8" ht="17.100000000000001" customHeight="1">
      <c r="A1024" s="1394"/>
      <c r="B1024" s="1395"/>
      <c r="C1024" s="1359" t="s">
        <v>724</v>
      </c>
      <c r="D1024" s="1360" t="s">
        <v>725</v>
      </c>
      <c r="E1024" s="1079">
        <v>6342</v>
      </c>
      <c r="F1024" s="1079">
        <v>6342</v>
      </c>
      <c r="G1024" s="1079">
        <v>6337</v>
      </c>
      <c r="H1024" s="1080">
        <f t="shared" si="232"/>
        <v>0.99921160517187002</v>
      </c>
    </row>
    <row r="1025" spans="1:9" ht="17.100000000000001" customHeight="1">
      <c r="A1025" s="1394"/>
      <c r="B1025" s="1395"/>
      <c r="C1025" s="1359" t="s">
        <v>576</v>
      </c>
      <c r="D1025" s="1360" t="s">
        <v>577</v>
      </c>
      <c r="E1025" s="1079">
        <v>0</v>
      </c>
      <c r="F1025" s="1079">
        <v>28000</v>
      </c>
      <c r="G1025" s="1079">
        <v>26385</v>
      </c>
      <c r="H1025" s="1080">
        <f t="shared" si="232"/>
        <v>0.94232142857142853</v>
      </c>
    </row>
    <row r="1026" spans="1:9" ht="17.100000000000001" customHeight="1">
      <c r="A1026" s="1394"/>
      <c r="B1026" s="1395"/>
      <c r="C1026" s="1359" t="s">
        <v>24</v>
      </c>
      <c r="D1026" s="1360" t="s">
        <v>578</v>
      </c>
      <c r="E1026" s="1079">
        <v>3100</v>
      </c>
      <c r="F1026" s="1079">
        <v>3100</v>
      </c>
      <c r="G1026" s="1079">
        <v>2854</v>
      </c>
      <c r="H1026" s="1080">
        <f t="shared" si="232"/>
        <v>0.92064516129032259</v>
      </c>
    </row>
    <row r="1027" spans="1:9" ht="17.100000000000001" customHeight="1">
      <c r="A1027" s="1394"/>
      <c r="B1027" s="1395"/>
      <c r="C1027" s="1367" t="s">
        <v>579</v>
      </c>
      <c r="D1027" s="1368" t="s">
        <v>580</v>
      </c>
      <c r="E1027" s="1079">
        <v>4096</v>
      </c>
      <c r="F1027" s="1079">
        <v>4096</v>
      </c>
      <c r="G1027" s="1079">
        <v>3845</v>
      </c>
      <c r="H1027" s="1080">
        <f t="shared" si="232"/>
        <v>0.938720703125</v>
      </c>
    </row>
    <row r="1028" spans="1:9" ht="17.100000000000001" customHeight="1">
      <c r="A1028" s="1394"/>
      <c r="B1028" s="1395"/>
      <c r="C1028" s="1249" t="s">
        <v>25</v>
      </c>
      <c r="D1028" s="1250" t="s">
        <v>581</v>
      </c>
      <c r="E1028" s="1079">
        <v>33931</v>
      </c>
      <c r="F1028" s="1079">
        <v>21531</v>
      </c>
      <c r="G1028" s="1079">
        <v>21492</v>
      </c>
      <c r="H1028" s="1080">
        <f t="shared" si="232"/>
        <v>0.99818865821373837</v>
      </c>
    </row>
    <row r="1029" spans="1:9" ht="16.5" customHeight="1">
      <c r="A1029" s="1394"/>
      <c r="B1029" s="1395"/>
      <c r="C1029" s="1125" t="s">
        <v>582</v>
      </c>
      <c r="D1029" s="1126" t="s">
        <v>583</v>
      </c>
      <c r="E1029" s="1079">
        <v>9373</v>
      </c>
      <c r="F1029" s="1079">
        <v>9373</v>
      </c>
      <c r="G1029" s="1079">
        <v>5890</v>
      </c>
      <c r="H1029" s="1080">
        <f t="shared" si="232"/>
        <v>0.62840072548810411</v>
      </c>
    </row>
    <row r="1030" spans="1:9" ht="17.100000000000001" customHeight="1">
      <c r="A1030" s="1394"/>
      <c r="B1030" s="1395"/>
      <c r="C1030" s="1359" t="s">
        <v>585</v>
      </c>
      <c r="D1030" s="1360" t="s">
        <v>586</v>
      </c>
      <c r="E1030" s="1079">
        <v>64890</v>
      </c>
      <c r="F1030" s="1079">
        <v>41290</v>
      </c>
      <c r="G1030" s="1079">
        <v>41100</v>
      </c>
      <c r="H1030" s="1080">
        <f t="shared" si="232"/>
        <v>0.99539840155001214</v>
      </c>
    </row>
    <row r="1031" spans="1:9" ht="17.100000000000001" customHeight="1">
      <c r="A1031" s="1394"/>
      <c r="B1031" s="1395"/>
      <c r="C1031" s="1359" t="s">
        <v>587</v>
      </c>
      <c r="D1031" s="1360" t="s">
        <v>588</v>
      </c>
      <c r="E1031" s="1079">
        <v>3225</v>
      </c>
      <c r="F1031" s="1079">
        <v>3725</v>
      </c>
      <c r="G1031" s="1079">
        <v>3310</v>
      </c>
      <c r="H1031" s="1080">
        <f t="shared" si="232"/>
        <v>0.88859060402684564</v>
      </c>
    </row>
    <row r="1032" spans="1:9" ht="17.100000000000001" customHeight="1">
      <c r="A1032" s="1394"/>
      <c r="B1032" s="1395"/>
      <c r="C1032" s="1359" t="s">
        <v>591</v>
      </c>
      <c r="D1032" s="1360" t="s">
        <v>592</v>
      </c>
      <c r="E1032" s="1079">
        <v>202194</v>
      </c>
      <c r="F1032" s="1079">
        <v>205084</v>
      </c>
      <c r="G1032" s="1079">
        <v>204810</v>
      </c>
      <c r="H1032" s="1080">
        <f t="shared" si="232"/>
        <v>0.99866396208382902</v>
      </c>
      <c r="I1032" s="1037"/>
    </row>
    <row r="1033" spans="1:9" ht="17.100000000000001" customHeight="1">
      <c r="A1033" s="1394"/>
      <c r="B1033" s="1395"/>
      <c r="C1033" s="1359" t="s">
        <v>703</v>
      </c>
      <c r="D1033" s="1360" t="s">
        <v>301</v>
      </c>
      <c r="E1033" s="1079">
        <v>0</v>
      </c>
      <c r="F1033" s="1079">
        <v>385</v>
      </c>
      <c r="G1033" s="1079">
        <v>385</v>
      </c>
      <c r="H1033" s="1080">
        <f t="shared" si="232"/>
        <v>1</v>
      </c>
      <c r="I1033" s="1037"/>
    </row>
    <row r="1034" spans="1:9" ht="17.100000000000001" customHeight="1">
      <c r="A1034" s="1394"/>
      <c r="B1034" s="1395"/>
      <c r="C1034" s="1359" t="s">
        <v>608</v>
      </c>
      <c r="D1034" s="1360" t="s">
        <v>609</v>
      </c>
      <c r="E1034" s="1079">
        <v>0</v>
      </c>
      <c r="F1034" s="1079">
        <v>100</v>
      </c>
      <c r="G1034" s="1079">
        <v>100</v>
      </c>
      <c r="H1034" s="1080">
        <f t="shared" si="232"/>
        <v>1</v>
      </c>
      <c r="I1034" s="1037"/>
    </row>
    <row r="1035" spans="1:9" ht="17.100000000000001" customHeight="1">
      <c r="A1035" s="1394"/>
      <c r="B1035" s="2173"/>
      <c r="C1035" s="1359" t="s">
        <v>148</v>
      </c>
      <c r="D1035" s="1360" t="s">
        <v>601</v>
      </c>
      <c r="E1035" s="1079">
        <v>3412</v>
      </c>
      <c r="F1035" s="1079">
        <v>3412</v>
      </c>
      <c r="G1035" s="1079">
        <v>2885</v>
      </c>
      <c r="H1035" s="1080">
        <f t="shared" si="232"/>
        <v>0.84554513481828841</v>
      </c>
      <c r="I1035" s="1037"/>
    </row>
    <row r="1036" spans="1:9" ht="17.100000000000001" customHeight="1">
      <c r="A1036" s="1394"/>
      <c r="B1036" s="2173"/>
      <c r="C1036" s="1098"/>
      <c r="D1036" s="1098"/>
      <c r="E1036" s="1440"/>
      <c r="F1036" s="1440"/>
      <c r="G1036" s="1440"/>
      <c r="H1036" s="1441"/>
      <c r="I1036" s="1037"/>
    </row>
    <row r="1037" spans="1:9" ht="17.100000000000001" customHeight="1">
      <c r="A1037" s="1394"/>
      <c r="B1037" s="2173"/>
      <c r="C1037" s="2219" t="s">
        <v>779</v>
      </c>
      <c r="D1037" s="2219"/>
      <c r="E1037" s="1079">
        <f t="shared" ref="E1037:G1037" si="237">E1038</f>
        <v>130300</v>
      </c>
      <c r="F1037" s="1079">
        <f t="shared" si="237"/>
        <v>228988</v>
      </c>
      <c r="G1037" s="1079">
        <f t="shared" si="237"/>
        <v>225736</v>
      </c>
      <c r="H1037" s="1080">
        <f t="shared" si="232"/>
        <v>0.98579838244798856</v>
      </c>
      <c r="I1037" s="1037"/>
    </row>
    <row r="1038" spans="1:9" ht="17.100000000000001" customHeight="1">
      <c r="A1038" s="1394"/>
      <c r="B1038" s="2173"/>
      <c r="C1038" s="1367" t="s">
        <v>603</v>
      </c>
      <c r="D1038" s="1368" t="s">
        <v>604</v>
      </c>
      <c r="E1038" s="1369">
        <v>130300</v>
      </c>
      <c r="F1038" s="1369">
        <v>228988</v>
      </c>
      <c r="G1038" s="1369">
        <v>225736</v>
      </c>
      <c r="H1038" s="1370">
        <f t="shared" si="232"/>
        <v>0.98579838244798856</v>
      </c>
      <c r="I1038" s="1037"/>
    </row>
    <row r="1039" spans="1:9" ht="17.100000000000001" customHeight="1">
      <c r="A1039" s="1394"/>
      <c r="B1039" s="1395"/>
      <c r="C1039" s="1442"/>
      <c r="D1039" s="1443"/>
      <c r="E1039" s="1079"/>
      <c r="F1039" s="1079"/>
      <c r="G1039" s="1079"/>
      <c r="H1039" s="1080"/>
      <c r="I1039" s="1037"/>
    </row>
    <row r="1040" spans="1:9" ht="17.100000000000001" customHeight="1">
      <c r="A1040" s="1394"/>
      <c r="B1040" s="1395"/>
      <c r="C1040" s="2244" t="s">
        <v>605</v>
      </c>
      <c r="D1040" s="2245"/>
      <c r="E1040" s="1300">
        <f t="shared" ref="E1040:G1040" si="238">E1041</f>
        <v>25000</v>
      </c>
      <c r="F1040" s="1300">
        <f t="shared" si="238"/>
        <v>0</v>
      </c>
      <c r="G1040" s="1300">
        <f t="shared" si="238"/>
        <v>0</v>
      </c>
      <c r="H1040" s="1301"/>
      <c r="I1040" s="1037"/>
    </row>
    <row r="1041" spans="1:9" ht="17.100000000000001" customHeight="1">
      <c r="A1041" s="1394"/>
      <c r="B1041" s="1395"/>
      <c r="C1041" s="2246" t="s">
        <v>606</v>
      </c>
      <c r="D1041" s="2247"/>
      <c r="E1041" s="1302">
        <f>SUM(E1042)</f>
        <v>25000</v>
      </c>
      <c r="F1041" s="1302">
        <f t="shared" ref="F1041:G1041" si="239">SUM(F1042)</f>
        <v>0</v>
      </c>
      <c r="G1041" s="1302">
        <f t="shared" si="239"/>
        <v>0</v>
      </c>
      <c r="H1041" s="1303"/>
      <c r="I1041" s="1037"/>
    </row>
    <row r="1042" spans="1:9" ht="15.75" customHeight="1" thickBot="1">
      <c r="A1042" s="1394"/>
      <c r="B1042" s="1395"/>
      <c r="C1042" s="1367" t="s">
        <v>144</v>
      </c>
      <c r="D1042" s="1368" t="s">
        <v>650</v>
      </c>
      <c r="E1042" s="1444">
        <v>25000</v>
      </c>
      <c r="F1042" s="1444">
        <v>0</v>
      </c>
      <c r="G1042" s="1444">
        <v>0</v>
      </c>
      <c r="H1042" s="1445"/>
      <c r="I1042" s="1037"/>
    </row>
    <row r="1043" spans="1:9" ht="17.100000000000001" customHeight="1" thickBot="1">
      <c r="A1043" s="1394"/>
      <c r="B1043" s="1144" t="s">
        <v>829</v>
      </c>
      <c r="C1043" s="1145"/>
      <c r="D1043" s="1146" t="s">
        <v>830</v>
      </c>
      <c r="E1043" s="1147">
        <f t="shared" ref="E1043:G1043" si="240">E1044</f>
        <v>2304296</v>
      </c>
      <c r="F1043" s="1147">
        <f t="shared" si="240"/>
        <v>2252315</v>
      </c>
      <c r="G1043" s="1147">
        <f t="shared" si="240"/>
        <v>2154106</v>
      </c>
      <c r="H1043" s="1148">
        <f t="shared" si="232"/>
        <v>0.95639641879577231</v>
      </c>
      <c r="I1043" s="1037"/>
    </row>
    <row r="1044" spans="1:9" ht="17.100000000000001" customHeight="1">
      <c r="A1044" s="1394"/>
      <c r="B1044" s="2173"/>
      <c r="C1044" s="2112" t="s">
        <v>560</v>
      </c>
      <c r="D1044" s="2112"/>
      <c r="E1044" s="1063">
        <f t="shared" ref="E1044:G1044" si="241">E1045+E1058</f>
        <v>2304296</v>
      </c>
      <c r="F1044" s="1063">
        <f t="shared" si="241"/>
        <v>2252315</v>
      </c>
      <c r="G1044" s="1063">
        <f t="shared" si="241"/>
        <v>2154106</v>
      </c>
      <c r="H1044" s="1064">
        <f t="shared" si="232"/>
        <v>0.95639641879577231</v>
      </c>
      <c r="I1044" s="1037"/>
    </row>
    <row r="1045" spans="1:9" ht="17.100000000000001" customHeight="1">
      <c r="A1045" s="1394"/>
      <c r="B1045" s="2173"/>
      <c r="C1045" s="2224" t="s">
        <v>561</v>
      </c>
      <c r="D1045" s="2224"/>
      <c r="E1045" s="1079">
        <f t="shared" ref="E1045:G1045" si="242">E1046+E1052</f>
        <v>2278496</v>
      </c>
      <c r="F1045" s="1079">
        <f t="shared" si="242"/>
        <v>2214395</v>
      </c>
      <c r="G1045" s="1079">
        <f t="shared" si="242"/>
        <v>2116186</v>
      </c>
      <c r="H1045" s="1080">
        <f t="shared" si="232"/>
        <v>0.95564973728715974</v>
      </c>
      <c r="I1045" s="1037"/>
    </row>
    <row r="1046" spans="1:9" ht="17.100000000000001" customHeight="1">
      <c r="A1046" s="1394"/>
      <c r="B1046" s="2173"/>
      <c r="C1046" s="2236" t="s">
        <v>562</v>
      </c>
      <c r="D1046" s="2236"/>
      <c r="E1046" s="1115">
        <f t="shared" ref="E1046:G1046" si="243">SUM(E1047:E1050)</f>
        <v>2183383</v>
      </c>
      <c r="F1046" s="1115">
        <f t="shared" si="243"/>
        <v>2126941</v>
      </c>
      <c r="G1046" s="1115">
        <f t="shared" si="243"/>
        <v>2028843</v>
      </c>
      <c r="H1046" s="1116">
        <f t="shared" si="232"/>
        <v>0.9538783633396507</v>
      </c>
      <c r="I1046" s="1037"/>
    </row>
    <row r="1047" spans="1:9" ht="17.100000000000001" customHeight="1">
      <c r="A1047" s="1394"/>
      <c r="B1047" s="2173"/>
      <c r="C1047" s="1359" t="s">
        <v>145</v>
      </c>
      <c r="D1047" s="1360" t="s">
        <v>563</v>
      </c>
      <c r="E1047" s="1079">
        <v>1673216</v>
      </c>
      <c r="F1047" s="1079">
        <v>1644633</v>
      </c>
      <c r="G1047" s="1079">
        <v>1597868</v>
      </c>
      <c r="H1047" s="1080">
        <f t="shared" si="232"/>
        <v>0.9715650847331897</v>
      </c>
      <c r="I1047" s="1037"/>
    </row>
    <row r="1048" spans="1:9" ht="17.100000000000001" customHeight="1">
      <c r="A1048" s="1394"/>
      <c r="B1048" s="2173"/>
      <c r="C1048" s="1359" t="s">
        <v>564</v>
      </c>
      <c r="D1048" s="1360" t="s">
        <v>565</v>
      </c>
      <c r="E1048" s="1079">
        <v>139800</v>
      </c>
      <c r="F1048" s="1079">
        <v>123228</v>
      </c>
      <c r="G1048" s="1079">
        <v>123227</v>
      </c>
      <c r="H1048" s="1080">
        <f t="shared" si="232"/>
        <v>0.99999188496121016</v>
      </c>
      <c r="I1048" s="1037"/>
    </row>
    <row r="1049" spans="1:9" ht="17.100000000000001" customHeight="1">
      <c r="A1049" s="1394"/>
      <c r="B1049" s="2173"/>
      <c r="C1049" s="1359" t="s">
        <v>146</v>
      </c>
      <c r="D1049" s="1360" t="s">
        <v>566</v>
      </c>
      <c r="E1049" s="1079">
        <v>325525</v>
      </c>
      <c r="F1049" s="1079">
        <v>316230</v>
      </c>
      <c r="G1049" s="1079">
        <v>280602</v>
      </c>
      <c r="H1049" s="1080">
        <f t="shared" si="232"/>
        <v>0.88733516744141927</v>
      </c>
      <c r="I1049" s="1037"/>
    </row>
    <row r="1050" spans="1:9" ht="17.100000000000001" customHeight="1">
      <c r="A1050" s="1394"/>
      <c r="B1050" s="2173"/>
      <c r="C1050" s="1359" t="s">
        <v>147</v>
      </c>
      <c r="D1050" s="1360" t="s">
        <v>567</v>
      </c>
      <c r="E1050" s="1079">
        <v>44842</v>
      </c>
      <c r="F1050" s="1079">
        <v>42850</v>
      </c>
      <c r="G1050" s="1079">
        <v>27146</v>
      </c>
      <c r="H1050" s="1080">
        <f t="shared" si="232"/>
        <v>0.63351225204200701</v>
      </c>
      <c r="I1050" s="1037"/>
    </row>
    <row r="1051" spans="1:9" ht="17.100000000000001" customHeight="1">
      <c r="A1051" s="1394"/>
      <c r="B1051" s="2173"/>
      <c r="C1051" s="1098"/>
      <c r="D1051" s="1098"/>
      <c r="E1051" s="1440"/>
      <c r="F1051" s="1440"/>
      <c r="G1051" s="1440"/>
      <c r="H1051" s="1441"/>
      <c r="I1051" s="1037"/>
    </row>
    <row r="1052" spans="1:9" ht="17.100000000000001" customHeight="1">
      <c r="A1052" s="1394"/>
      <c r="B1052" s="2173"/>
      <c r="C1052" s="2225" t="s">
        <v>570</v>
      </c>
      <c r="D1052" s="2225"/>
      <c r="E1052" s="1115">
        <f t="shared" ref="E1052:G1052" si="244">SUM(E1053:E1056)</f>
        <v>95113</v>
      </c>
      <c r="F1052" s="1115">
        <f t="shared" si="244"/>
        <v>87454</v>
      </c>
      <c r="G1052" s="1115">
        <f t="shared" si="244"/>
        <v>87343</v>
      </c>
      <c r="H1052" s="1116">
        <f t="shared" si="232"/>
        <v>0.99873076131451965</v>
      </c>
      <c r="I1052" s="1037"/>
    </row>
    <row r="1053" spans="1:9" ht="17.100000000000001" customHeight="1">
      <c r="A1053" s="1394"/>
      <c r="B1053" s="2173"/>
      <c r="C1053" s="1359" t="s">
        <v>143</v>
      </c>
      <c r="D1053" s="1360" t="s">
        <v>573</v>
      </c>
      <c r="E1053" s="1079">
        <v>2977</v>
      </c>
      <c r="F1053" s="1079">
        <v>2977</v>
      </c>
      <c r="G1053" s="1079">
        <v>2977</v>
      </c>
      <c r="H1053" s="1080">
        <f t="shared" si="232"/>
        <v>1</v>
      </c>
      <c r="I1053" s="1037"/>
    </row>
    <row r="1054" spans="1:9" ht="17.100000000000001" customHeight="1">
      <c r="A1054" s="1394"/>
      <c r="B1054" s="2173"/>
      <c r="C1054" s="1359" t="s">
        <v>724</v>
      </c>
      <c r="D1054" s="1360" t="s">
        <v>725</v>
      </c>
      <c r="E1054" s="1079">
        <v>2369</v>
      </c>
      <c r="F1054" s="1079">
        <v>2369</v>
      </c>
      <c r="G1054" s="1079">
        <v>2369</v>
      </c>
      <c r="H1054" s="1080">
        <f t="shared" si="232"/>
        <v>1</v>
      </c>
      <c r="I1054" s="1037"/>
    </row>
    <row r="1055" spans="1:9" ht="17.100000000000001" customHeight="1">
      <c r="A1055" s="1394"/>
      <c r="B1055" s="2173"/>
      <c r="C1055" s="1359" t="s">
        <v>579</v>
      </c>
      <c r="D1055" s="1360" t="s">
        <v>580</v>
      </c>
      <c r="E1055" s="1079">
        <v>1009</v>
      </c>
      <c r="F1055" s="1079">
        <v>1009</v>
      </c>
      <c r="G1055" s="1079">
        <v>899</v>
      </c>
      <c r="H1055" s="1080">
        <f t="shared" si="232"/>
        <v>0.8909811694747275</v>
      </c>
      <c r="I1055" s="1037"/>
    </row>
    <row r="1056" spans="1:9" ht="17.100000000000001" customHeight="1">
      <c r="A1056" s="1394"/>
      <c r="B1056" s="2173"/>
      <c r="C1056" s="1359" t="s">
        <v>591</v>
      </c>
      <c r="D1056" s="1360" t="s">
        <v>592</v>
      </c>
      <c r="E1056" s="1079">
        <v>88758</v>
      </c>
      <c r="F1056" s="1079">
        <v>81099</v>
      </c>
      <c r="G1056" s="1079">
        <v>81098</v>
      </c>
      <c r="H1056" s="1080">
        <f t="shared" si="232"/>
        <v>0.99998766939173112</v>
      </c>
      <c r="I1056" s="1037"/>
    </row>
    <row r="1057" spans="1:9" ht="17.100000000000001" customHeight="1">
      <c r="A1057" s="1394"/>
      <c r="B1057" s="2173"/>
      <c r="C1057" s="1098"/>
      <c r="D1057" s="1098"/>
      <c r="E1057" s="1440"/>
      <c r="F1057" s="1440"/>
      <c r="G1057" s="1440"/>
      <c r="H1057" s="1441"/>
      <c r="I1057" s="1037"/>
    </row>
    <row r="1058" spans="1:9" ht="17.100000000000001" customHeight="1">
      <c r="A1058" s="1394"/>
      <c r="B1058" s="2173"/>
      <c r="C1058" s="2219" t="s">
        <v>779</v>
      </c>
      <c r="D1058" s="2219"/>
      <c r="E1058" s="1079">
        <f t="shared" ref="E1058:G1058" si="245">E1059</f>
        <v>25800</v>
      </c>
      <c r="F1058" s="1079">
        <f t="shared" si="245"/>
        <v>37920</v>
      </c>
      <c r="G1058" s="1079">
        <f t="shared" si="245"/>
        <v>37920</v>
      </c>
      <c r="H1058" s="1080">
        <f t="shared" si="232"/>
        <v>1</v>
      </c>
      <c r="I1058" s="1037"/>
    </row>
    <row r="1059" spans="1:9" ht="17.100000000000001" customHeight="1" thickBot="1">
      <c r="A1059" s="1394"/>
      <c r="B1059" s="2173"/>
      <c r="C1059" s="1446" t="s">
        <v>603</v>
      </c>
      <c r="D1059" s="1383" t="s">
        <v>604</v>
      </c>
      <c r="E1059" s="1089">
        <v>25800</v>
      </c>
      <c r="F1059" s="1089">
        <v>37920</v>
      </c>
      <c r="G1059" s="1089">
        <v>37920</v>
      </c>
      <c r="H1059" s="1090">
        <f t="shared" si="232"/>
        <v>1</v>
      </c>
      <c r="I1059" s="1037"/>
    </row>
    <row r="1060" spans="1:9" ht="17.100000000000001" customHeight="1" thickBot="1">
      <c r="A1060" s="1394"/>
      <c r="B1060" s="1144" t="s">
        <v>831</v>
      </c>
      <c r="C1060" s="1145"/>
      <c r="D1060" s="1146" t="s">
        <v>452</v>
      </c>
      <c r="E1060" s="1147">
        <f t="shared" ref="E1060:G1063" si="246">E1061</f>
        <v>0</v>
      </c>
      <c r="F1060" s="1147">
        <f t="shared" si="246"/>
        <v>8100</v>
      </c>
      <c r="G1060" s="1147">
        <f t="shared" si="246"/>
        <v>8100</v>
      </c>
      <c r="H1060" s="1148">
        <f t="shared" si="232"/>
        <v>1</v>
      </c>
      <c r="I1060" s="1037"/>
    </row>
    <row r="1061" spans="1:9" ht="17.100000000000001" customHeight="1">
      <c r="A1061" s="1394"/>
      <c r="B1061" s="1395"/>
      <c r="C1061" s="2112" t="s">
        <v>560</v>
      </c>
      <c r="D1061" s="2112"/>
      <c r="E1061" s="1063">
        <f>E1062</f>
        <v>0</v>
      </c>
      <c r="F1061" s="1063">
        <f t="shared" si="246"/>
        <v>8100</v>
      </c>
      <c r="G1061" s="1063">
        <f t="shared" si="246"/>
        <v>8100</v>
      </c>
      <c r="H1061" s="1064">
        <f t="shared" si="232"/>
        <v>1</v>
      </c>
      <c r="I1061" s="1037"/>
    </row>
    <row r="1062" spans="1:9" ht="17.100000000000001" customHeight="1">
      <c r="A1062" s="1394"/>
      <c r="B1062" s="1395"/>
      <c r="C1062" s="2224" t="s">
        <v>561</v>
      </c>
      <c r="D1062" s="2224"/>
      <c r="E1062" s="1079">
        <f>E1063</f>
        <v>0</v>
      </c>
      <c r="F1062" s="1079">
        <f t="shared" si="246"/>
        <v>8100</v>
      </c>
      <c r="G1062" s="1079">
        <f t="shared" si="246"/>
        <v>8100</v>
      </c>
      <c r="H1062" s="1080">
        <f t="shared" si="232"/>
        <v>1</v>
      </c>
      <c r="I1062" s="1037"/>
    </row>
    <row r="1063" spans="1:9" ht="17.100000000000001" customHeight="1">
      <c r="A1063" s="1394"/>
      <c r="B1063" s="1395"/>
      <c r="C1063" s="2225" t="s">
        <v>570</v>
      </c>
      <c r="D1063" s="2225"/>
      <c r="E1063" s="1115">
        <f>E1064</f>
        <v>0</v>
      </c>
      <c r="F1063" s="1115">
        <f t="shared" si="246"/>
        <v>8100</v>
      </c>
      <c r="G1063" s="1115">
        <f t="shared" si="246"/>
        <v>8100</v>
      </c>
      <c r="H1063" s="1116">
        <f t="shared" si="232"/>
        <v>1</v>
      </c>
      <c r="I1063" s="1037"/>
    </row>
    <row r="1064" spans="1:9" ht="17.100000000000001" customHeight="1" thickBot="1">
      <c r="A1064" s="1394"/>
      <c r="B1064" s="1395"/>
      <c r="C1064" s="1359" t="s">
        <v>724</v>
      </c>
      <c r="D1064" s="1360" t="s">
        <v>725</v>
      </c>
      <c r="E1064" s="1079">
        <v>0</v>
      </c>
      <c r="F1064" s="1079">
        <v>8100</v>
      </c>
      <c r="G1064" s="1079">
        <v>8100</v>
      </c>
      <c r="H1064" s="1080">
        <f t="shared" si="232"/>
        <v>1</v>
      </c>
      <c r="I1064" s="1037"/>
    </row>
    <row r="1065" spans="1:9" ht="17.100000000000001" customHeight="1" thickBot="1">
      <c r="A1065" s="1394"/>
      <c r="B1065" s="1144" t="s">
        <v>832</v>
      </c>
      <c r="C1065" s="1145"/>
      <c r="D1065" s="1146" t="s">
        <v>833</v>
      </c>
      <c r="E1065" s="1147">
        <f t="shared" ref="E1065:G1065" si="247">E1066</f>
        <v>639506</v>
      </c>
      <c r="F1065" s="1147">
        <f t="shared" si="247"/>
        <v>623065</v>
      </c>
      <c r="G1065" s="1147">
        <f t="shared" si="247"/>
        <v>595462</v>
      </c>
      <c r="H1065" s="1148">
        <f t="shared" si="232"/>
        <v>0.95569804113535506</v>
      </c>
      <c r="I1065" s="1037"/>
    </row>
    <row r="1066" spans="1:9" ht="17.100000000000001" customHeight="1">
      <c r="A1066" s="1394"/>
      <c r="B1066" s="2154"/>
      <c r="C1066" s="2112" t="s">
        <v>560</v>
      </c>
      <c r="D1066" s="2112"/>
      <c r="E1066" s="1063">
        <f t="shared" ref="E1066:G1066" si="248">E1067+E1080</f>
        <v>639506</v>
      </c>
      <c r="F1066" s="1063">
        <f t="shared" si="248"/>
        <v>623065</v>
      </c>
      <c r="G1066" s="1063">
        <f t="shared" si="248"/>
        <v>595462</v>
      </c>
      <c r="H1066" s="1064">
        <f t="shared" si="232"/>
        <v>0.95569804113535506</v>
      </c>
      <c r="I1066" s="1037"/>
    </row>
    <row r="1067" spans="1:9" ht="17.100000000000001" customHeight="1">
      <c r="A1067" s="1394"/>
      <c r="B1067" s="2154"/>
      <c r="C1067" s="2224" t="s">
        <v>561</v>
      </c>
      <c r="D1067" s="2224"/>
      <c r="E1067" s="1079">
        <f t="shared" ref="E1067:G1067" si="249">E1068+E1074</f>
        <v>638915</v>
      </c>
      <c r="F1067" s="1079">
        <f t="shared" si="249"/>
        <v>623065</v>
      </c>
      <c r="G1067" s="1079">
        <f t="shared" si="249"/>
        <v>595462</v>
      </c>
      <c r="H1067" s="1080">
        <f t="shared" si="232"/>
        <v>0.95569804113535506</v>
      </c>
      <c r="I1067" s="1037"/>
    </row>
    <row r="1068" spans="1:9" ht="17.100000000000001" customHeight="1">
      <c r="A1068" s="1394"/>
      <c r="B1068" s="2154"/>
      <c r="C1068" s="2236" t="s">
        <v>562</v>
      </c>
      <c r="D1068" s="2236"/>
      <c r="E1068" s="1115">
        <f t="shared" ref="E1068:G1068" si="250">SUM(E1069:E1072)</f>
        <v>602205</v>
      </c>
      <c r="F1068" s="1115">
        <f t="shared" si="250"/>
        <v>589772</v>
      </c>
      <c r="G1068" s="1115">
        <f t="shared" si="250"/>
        <v>562271</v>
      </c>
      <c r="H1068" s="1116">
        <f t="shared" si="232"/>
        <v>0.95337011590919885</v>
      </c>
      <c r="I1068" s="1037"/>
    </row>
    <row r="1069" spans="1:9" ht="17.100000000000001" customHeight="1">
      <c r="A1069" s="1394"/>
      <c r="B1069" s="2154"/>
      <c r="C1069" s="1359" t="s">
        <v>145</v>
      </c>
      <c r="D1069" s="1360" t="s">
        <v>563</v>
      </c>
      <c r="E1069" s="1079">
        <v>460840</v>
      </c>
      <c r="F1069" s="1079">
        <v>454684</v>
      </c>
      <c r="G1069" s="1079">
        <v>436403</v>
      </c>
      <c r="H1069" s="1080">
        <f t="shared" si="232"/>
        <v>0.95979405477210544</v>
      </c>
      <c r="I1069" s="1037"/>
    </row>
    <row r="1070" spans="1:9" ht="17.100000000000001" customHeight="1">
      <c r="A1070" s="1394"/>
      <c r="B1070" s="2154"/>
      <c r="C1070" s="1359" t="s">
        <v>564</v>
      </c>
      <c r="D1070" s="1360" t="s">
        <v>565</v>
      </c>
      <c r="E1070" s="1079">
        <v>42786</v>
      </c>
      <c r="F1070" s="1079">
        <v>37833</v>
      </c>
      <c r="G1070" s="1079">
        <v>37833</v>
      </c>
      <c r="H1070" s="1080">
        <f t="shared" si="232"/>
        <v>1</v>
      </c>
      <c r="I1070" s="1037"/>
    </row>
    <row r="1071" spans="1:9" ht="17.100000000000001" customHeight="1">
      <c r="A1071" s="1394"/>
      <c r="B1071" s="2154"/>
      <c r="C1071" s="1359" t="s">
        <v>146</v>
      </c>
      <c r="D1071" s="1360" t="s">
        <v>566</v>
      </c>
      <c r="E1071" s="1079">
        <v>86226</v>
      </c>
      <c r="F1071" s="1079">
        <v>85067</v>
      </c>
      <c r="G1071" s="1079">
        <v>78694</v>
      </c>
      <c r="H1071" s="1080">
        <f t="shared" si="232"/>
        <v>0.9250825819648042</v>
      </c>
      <c r="I1071" s="1037"/>
    </row>
    <row r="1072" spans="1:9" ht="17.100000000000001" customHeight="1">
      <c r="A1072" s="1394"/>
      <c r="B1072" s="2154"/>
      <c r="C1072" s="1359" t="s">
        <v>147</v>
      </c>
      <c r="D1072" s="1360" t="s">
        <v>567</v>
      </c>
      <c r="E1072" s="1079">
        <v>12353</v>
      </c>
      <c r="F1072" s="1079">
        <v>12188</v>
      </c>
      <c r="G1072" s="1079">
        <v>9341</v>
      </c>
      <c r="H1072" s="1080">
        <f t="shared" si="232"/>
        <v>0.76640958319658681</v>
      </c>
      <c r="I1072" s="1037"/>
    </row>
    <row r="1073" spans="1:9" ht="17.100000000000001" customHeight="1">
      <c r="A1073" s="1394"/>
      <c r="B1073" s="2154"/>
      <c r="C1073" s="1098"/>
      <c r="D1073" s="1098"/>
      <c r="E1073" s="1440"/>
      <c r="F1073" s="1440"/>
      <c r="G1073" s="1440"/>
      <c r="H1073" s="1441"/>
      <c r="I1073" s="1037"/>
    </row>
    <row r="1074" spans="1:9" ht="17.100000000000001" customHeight="1">
      <c r="A1074" s="1394"/>
      <c r="B1074" s="2154"/>
      <c r="C1074" s="2225" t="s">
        <v>570</v>
      </c>
      <c r="D1074" s="2225"/>
      <c r="E1074" s="1115">
        <f t="shared" ref="E1074:G1074" si="251">SUM(E1075:E1078)</f>
        <v>36710</v>
      </c>
      <c r="F1074" s="1115">
        <f t="shared" si="251"/>
        <v>33293</v>
      </c>
      <c r="G1074" s="1115">
        <f t="shared" si="251"/>
        <v>33191</v>
      </c>
      <c r="H1074" s="1116">
        <f t="shared" si="232"/>
        <v>0.99693629291442643</v>
      </c>
      <c r="I1074" s="1037"/>
    </row>
    <row r="1075" spans="1:9" ht="17.100000000000001" customHeight="1">
      <c r="A1075" s="1394"/>
      <c r="B1075" s="2154"/>
      <c r="C1075" s="1359" t="s">
        <v>143</v>
      </c>
      <c r="D1075" s="1360" t="s">
        <v>573</v>
      </c>
      <c r="E1075" s="1079">
        <v>4223</v>
      </c>
      <c r="F1075" s="1079">
        <v>4223</v>
      </c>
      <c r="G1075" s="1079">
        <v>4223</v>
      </c>
      <c r="H1075" s="1080">
        <f t="shared" si="232"/>
        <v>1</v>
      </c>
      <c r="I1075" s="1037"/>
    </row>
    <row r="1076" spans="1:9" ht="17.100000000000001" customHeight="1">
      <c r="A1076" s="1394"/>
      <c r="B1076" s="2154"/>
      <c r="C1076" s="1359" t="s">
        <v>724</v>
      </c>
      <c r="D1076" s="1360" t="s">
        <v>725</v>
      </c>
      <c r="E1076" s="1079">
        <v>4030</v>
      </c>
      <c r="F1076" s="1079">
        <v>4030</v>
      </c>
      <c r="G1076" s="1079">
        <v>4030</v>
      </c>
      <c r="H1076" s="1080">
        <f t="shared" si="232"/>
        <v>1</v>
      </c>
      <c r="I1076" s="1037"/>
    </row>
    <row r="1077" spans="1:9" ht="17.100000000000001" customHeight="1">
      <c r="A1077" s="1394"/>
      <c r="B1077" s="2154"/>
      <c r="C1077" s="1359" t="s">
        <v>579</v>
      </c>
      <c r="D1077" s="1360" t="s">
        <v>580</v>
      </c>
      <c r="E1077" s="1079">
        <v>387</v>
      </c>
      <c r="F1077" s="1079">
        <v>387</v>
      </c>
      <c r="G1077" s="1079">
        <v>286</v>
      </c>
      <c r="H1077" s="1080">
        <f t="shared" si="232"/>
        <v>0.73901808785529721</v>
      </c>
      <c r="I1077" s="1037"/>
    </row>
    <row r="1078" spans="1:9" ht="17.100000000000001" customHeight="1">
      <c r="A1078" s="1394"/>
      <c r="B1078" s="2154"/>
      <c r="C1078" s="1359" t="s">
        <v>591</v>
      </c>
      <c r="D1078" s="1360" t="s">
        <v>592</v>
      </c>
      <c r="E1078" s="1079">
        <v>28070</v>
      </c>
      <c r="F1078" s="1079">
        <v>24653</v>
      </c>
      <c r="G1078" s="1079">
        <v>24652</v>
      </c>
      <c r="H1078" s="1080">
        <f t="shared" si="232"/>
        <v>0.99995943698535672</v>
      </c>
      <c r="I1078" s="1037"/>
    </row>
    <row r="1079" spans="1:9" ht="17.100000000000001" customHeight="1">
      <c r="A1079" s="1394"/>
      <c r="B1079" s="2243"/>
      <c r="C1079" s="1098"/>
      <c r="D1079" s="1117"/>
      <c r="E1079" s="1447"/>
      <c r="F1079" s="1447"/>
      <c r="G1079" s="1447"/>
      <c r="H1079" s="1448"/>
      <c r="I1079" s="1037"/>
    </row>
    <row r="1080" spans="1:9" ht="17.100000000000001" customHeight="1">
      <c r="A1080" s="1394"/>
      <c r="B1080" s="2243"/>
      <c r="C1080" s="2219" t="s">
        <v>779</v>
      </c>
      <c r="D1080" s="2220"/>
      <c r="E1080" s="1079">
        <f t="shared" ref="E1080:G1080" si="252">E1081</f>
        <v>591</v>
      </c>
      <c r="F1080" s="1079">
        <f t="shared" si="252"/>
        <v>0</v>
      </c>
      <c r="G1080" s="1079">
        <f t="shared" si="252"/>
        <v>0</v>
      </c>
      <c r="H1080" s="1080"/>
      <c r="I1080" s="1037"/>
    </row>
    <row r="1081" spans="1:9" ht="17.100000000000001" customHeight="1" thickBot="1">
      <c r="A1081" s="1394"/>
      <c r="B1081" s="2243"/>
      <c r="C1081" s="1367" t="s">
        <v>603</v>
      </c>
      <c r="D1081" s="1368" t="s">
        <v>604</v>
      </c>
      <c r="E1081" s="1369">
        <v>591</v>
      </c>
      <c r="F1081" s="1369">
        <v>0</v>
      </c>
      <c r="G1081" s="1369">
        <v>0</v>
      </c>
      <c r="H1081" s="1370"/>
      <c r="I1081" s="1037"/>
    </row>
    <row r="1082" spans="1:9" ht="17.100000000000001" customHeight="1" thickBot="1">
      <c r="A1082" s="1394"/>
      <c r="B1082" s="1144" t="s">
        <v>834</v>
      </c>
      <c r="C1082" s="1145"/>
      <c r="D1082" s="1146" t="s">
        <v>453</v>
      </c>
      <c r="E1082" s="1147">
        <f>SUM(E1083,E1132)</f>
        <v>16796603</v>
      </c>
      <c r="F1082" s="1147">
        <f t="shared" ref="F1082:G1082" si="253">SUM(F1083,F1132)</f>
        <v>17268100</v>
      </c>
      <c r="G1082" s="1147">
        <f t="shared" si="253"/>
        <v>16861087</v>
      </c>
      <c r="H1082" s="1148">
        <f t="shared" ref="H1082:H1152" si="254">G1082/F1082</f>
        <v>0.97642977513449658</v>
      </c>
      <c r="I1082" s="1037"/>
    </row>
    <row r="1083" spans="1:9" ht="17.100000000000001" customHeight="1">
      <c r="A1083" s="1394"/>
      <c r="B1083" s="1395"/>
      <c r="C1083" s="2112" t="s">
        <v>560</v>
      </c>
      <c r="D1083" s="2112"/>
      <c r="E1083" s="1063">
        <f>E1084+E1110+E1114</f>
        <v>16785603</v>
      </c>
      <c r="F1083" s="1063">
        <f t="shared" ref="F1083:G1083" si="255">F1084+F1110+F1114</f>
        <v>17235100</v>
      </c>
      <c r="G1083" s="1063">
        <f t="shared" si="255"/>
        <v>16828087</v>
      </c>
      <c r="H1083" s="1064">
        <f t="shared" si="254"/>
        <v>0.97638464528781377</v>
      </c>
      <c r="I1083" s="1037"/>
    </row>
    <row r="1084" spans="1:9" ht="17.100000000000001" customHeight="1">
      <c r="A1084" s="1394"/>
      <c r="B1084" s="1395"/>
      <c r="C1084" s="2224" t="s">
        <v>561</v>
      </c>
      <c r="D1084" s="2224"/>
      <c r="E1084" s="1079">
        <f t="shared" ref="E1084:G1084" si="256">E1085+E1092</f>
        <v>16441941</v>
      </c>
      <c r="F1084" s="1079">
        <f t="shared" si="256"/>
        <v>16456084</v>
      </c>
      <c r="G1084" s="1079">
        <f t="shared" si="256"/>
        <v>16056681</v>
      </c>
      <c r="H1084" s="1080">
        <f t="shared" si="254"/>
        <v>0.97572915889345246</v>
      </c>
      <c r="I1084" s="1037"/>
    </row>
    <row r="1085" spans="1:9" ht="17.100000000000001" customHeight="1">
      <c r="A1085" s="1394"/>
      <c r="B1085" s="1395"/>
      <c r="C1085" s="2236" t="s">
        <v>562</v>
      </c>
      <c r="D1085" s="2236"/>
      <c r="E1085" s="1115">
        <f t="shared" ref="E1085:G1085" si="257">SUM(E1086:E1090)</f>
        <v>14368526</v>
      </c>
      <c r="F1085" s="1115">
        <f t="shared" si="257"/>
        <v>14489571</v>
      </c>
      <c r="G1085" s="1115">
        <f t="shared" si="257"/>
        <v>14154582</v>
      </c>
      <c r="H1085" s="1116">
        <f t="shared" si="254"/>
        <v>0.97688068197464228</v>
      </c>
      <c r="I1085" s="1037"/>
    </row>
    <row r="1086" spans="1:9" ht="17.100000000000001" customHeight="1">
      <c r="A1086" s="1394"/>
      <c r="B1086" s="1395"/>
      <c r="C1086" s="1359" t="s">
        <v>145</v>
      </c>
      <c r="D1086" s="1360" t="s">
        <v>563</v>
      </c>
      <c r="E1086" s="1079">
        <v>11151214</v>
      </c>
      <c r="F1086" s="1079">
        <v>11309893</v>
      </c>
      <c r="G1086" s="1079">
        <v>11091056</v>
      </c>
      <c r="H1086" s="1080">
        <f t="shared" si="254"/>
        <v>0.98065083374351991</v>
      </c>
      <c r="I1086" s="1037"/>
    </row>
    <row r="1087" spans="1:9" ht="17.100000000000001" customHeight="1">
      <c r="A1087" s="1394"/>
      <c r="B1087" s="1395"/>
      <c r="C1087" s="1359" t="s">
        <v>564</v>
      </c>
      <c r="D1087" s="1360" t="s">
        <v>565</v>
      </c>
      <c r="E1087" s="1079">
        <v>915209</v>
      </c>
      <c r="F1087" s="1079">
        <v>883540</v>
      </c>
      <c r="G1087" s="1079">
        <v>883530</v>
      </c>
      <c r="H1087" s="1080">
        <f t="shared" si="254"/>
        <v>0.99998868189329293</v>
      </c>
      <c r="I1087" s="1037"/>
    </row>
    <row r="1088" spans="1:9" ht="17.100000000000001" customHeight="1">
      <c r="A1088" s="1394"/>
      <c r="B1088" s="1395"/>
      <c r="C1088" s="1359" t="s">
        <v>146</v>
      </c>
      <c r="D1088" s="1360" t="s">
        <v>566</v>
      </c>
      <c r="E1088" s="1079">
        <v>2009846</v>
      </c>
      <c r="F1088" s="1079">
        <v>2013862</v>
      </c>
      <c r="G1088" s="1079">
        <v>1946109</v>
      </c>
      <c r="H1088" s="1080">
        <f t="shared" si="254"/>
        <v>0.96635668183817958</v>
      </c>
      <c r="I1088" s="1037"/>
    </row>
    <row r="1089" spans="1:9" ht="17.100000000000001" customHeight="1">
      <c r="A1089" s="1394"/>
      <c r="B1089" s="1395"/>
      <c r="C1089" s="1359" t="s">
        <v>147</v>
      </c>
      <c r="D1089" s="1360" t="s">
        <v>567</v>
      </c>
      <c r="E1089" s="1079">
        <v>264437</v>
      </c>
      <c r="F1089" s="1079">
        <v>236011</v>
      </c>
      <c r="G1089" s="1079">
        <v>187851</v>
      </c>
      <c r="H1089" s="1080">
        <f t="shared" si="254"/>
        <v>0.79594171458110008</v>
      </c>
      <c r="I1089" s="1037"/>
    </row>
    <row r="1090" spans="1:9" ht="17.100000000000001" customHeight="1">
      <c r="A1090" s="1394"/>
      <c r="B1090" s="1395"/>
      <c r="C1090" s="1367" t="s">
        <v>568</v>
      </c>
      <c r="D1090" s="1368" t="s">
        <v>569</v>
      </c>
      <c r="E1090" s="1079">
        <v>27820</v>
      </c>
      <c r="F1090" s="1079">
        <v>46265</v>
      </c>
      <c r="G1090" s="1079">
        <v>46036</v>
      </c>
      <c r="H1090" s="1080">
        <f t="shared" si="254"/>
        <v>0.99505025397168489</v>
      </c>
      <c r="I1090" s="1037"/>
    </row>
    <row r="1091" spans="1:9" ht="17.100000000000001" customHeight="1">
      <c r="A1091" s="1394"/>
      <c r="B1091" s="1395"/>
      <c r="C1091" s="1449"/>
      <c r="D1091" s="1449"/>
      <c r="E1091" s="1450"/>
      <c r="F1091" s="1450"/>
      <c r="G1091" s="1450"/>
      <c r="H1091" s="1445"/>
      <c r="I1091" s="1037"/>
    </row>
    <row r="1092" spans="1:9" ht="17.100000000000001" customHeight="1">
      <c r="A1092" s="1394"/>
      <c r="B1092" s="1395"/>
      <c r="C1092" s="2225" t="s">
        <v>570</v>
      </c>
      <c r="D1092" s="2225"/>
      <c r="E1092" s="1451">
        <f>SUM(E1093:E1108)</f>
        <v>2073415</v>
      </c>
      <c r="F1092" s="1451">
        <f t="shared" ref="F1092:G1092" si="258">SUM(F1093:F1108)</f>
        <v>1966513</v>
      </c>
      <c r="G1092" s="1451">
        <f t="shared" si="258"/>
        <v>1902099</v>
      </c>
      <c r="H1092" s="1452">
        <f t="shared" si="254"/>
        <v>0.9672445592782758</v>
      </c>
      <c r="I1092" s="1037"/>
    </row>
    <row r="1093" spans="1:9" ht="17.100000000000001" customHeight="1">
      <c r="A1093" s="1394"/>
      <c r="B1093" s="1395"/>
      <c r="C1093" s="1359" t="s">
        <v>571</v>
      </c>
      <c r="D1093" s="1360" t="s">
        <v>572</v>
      </c>
      <c r="E1093" s="1079">
        <v>29600</v>
      </c>
      <c r="F1093" s="1079">
        <v>17000</v>
      </c>
      <c r="G1093" s="1079">
        <v>15647</v>
      </c>
      <c r="H1093" s="1080">
        <f t="shared" si="254"/>
        <v>0.92041176470588237</v>
      </c>
      <c r="I1093" s="1037"/>
    </row>
    <row r="1094" spans="1:9" ht="17.100000000000001" customHeight="1">
      <c r="A1094" s="1394"/>
      <c r="B1094" s="1395"/>
      <c r="C1094" s="1359" t="s">
        <v>143</v>
      </c>
      <c r="D1094" s="1360" t="s">
        <v>573</v>
      </c>
      <c r="E1094" s="1079">
        <v>148761</v>
      </c>
      <c r="F1094" s="1079">
        <v>148911</v>
      </c>
      <c r="G1094" s="1079">
        <v>145043</v>
      </c>
      <c r="H1094" s="1080">
        <f t="shared" si="254"/>
        <v>0.9740247530404067</v>
      </c>
      <c r="I1094" s="1037"/>
    </row>
    <row r="1095" spans="1:9" ht="17.100000000000001" customHeight="1">
      <c r="A1095" s="1394"/>
      <c r="B1095" s="1395"/>
      <c r="C1095" s="1359" t="s">
        <v>724</v>
      </c>
      <c r="D1095" s="1360" t="s">
        <v>725</v>
      </c>
      <c r="E1095" s="1079">
        <v>83100</v>
      </c>
      <c r="F1095" s="1079">
        <v>125795</v>
      </c>
      <c r="G1095" s="1079">
        <v>123652</v>
      </c>
      <c r="H1095" s="1080">
        <f t="shared" si="254"/>
        <v>0.98296434675464051</v>
      </c>
      <c r="I1095" s="1037"/>
    </row>
    <row r="1096" spans="1:9" ht="17.100000000000001" customHeight="1">
      <c r="A1096" s="1394"/>
      <c r="B1096" s="1395"/>
      <c r="C1096" s="1359" t="s">
        <v>576</v>
      </c>
      <c r="D1096" s="1360" t="s">
        <v>577</v>
      </c>
      <c r="E1096" s="1079">
        <v>576176</v>
      </c>
      <c r="F1096" s="1079">
        <v>593372</v>
      </c>
      <c r="G1096" s="1079">
        <v>563715</v>
      </c>
      <c r="H1096" s="1080">
        <f t="shared" si="254"/>
        <v>0.95001954928779919</v>
      </c>
      <c r="I1096" s="1037"/>
    </row>
    <row r="1097" spans="1:9" ht="17.100000000000001" customHeight="1">
      <c r="A1097" s="1394"/>
      <c r="B1097" s="1395"/>
      <c r="C1097" s="1359" t="s">
        <v>24</v>
      </c>
      <c r="D1097" s="1360" t="s">
        <v>578</v>
      </c>
      <c r="E1097" s="1079">
        <v>30200</v>
      </c>
      <c r="F1097" s="1079">
        <v>43500</v>
      </c>
      <c r="G1097" s="1079">
        <v>43093</v>
      </c>
      <c r="H1097" s="1080">
        <f t="shared" si="254"/>
        <v>0.99064367816091958</v>
      </c>
      <c r="I1097" s="1037"/>
    </row>
    <row r="1098" spans="1:9" ht="17.100000000000001" customHeight="1">
      <c r="A1098" s="1394"/>
      <c r="B1098" s="1395"/>
      <c r="C1098" s="1359" t="s">
        <v>579</v>
      </c>
      <c r="D1098" s="1360" t="s">
        <v>580</v>
      </c>
      <c r="E1098" s="1079">
        <v>16146</v>
      </c>
      <c r="F1098" s="1079">
        <v>16646</v>
      </c>
      <c r="G1098" s="1079">
        <v>13328</v>
      </c>
      <c r="H1098" s="1080">
        <f t="shared" si="254"/>
        <v>0.80067283431455005</v>
      </c>
      <c r="I1098" s="1037"/>
    </row>
    <row r="1099" spans="1:9" ht="17.100000000000001" customHeight="1">
      <c r="A1099" s="1394"/>
      <c r="B1099" s="1395"/>
      <c r="C1099" s="1359" t="s">
        <v>25</v>
      </c>
      <c r="D1099" s="1360" t="s">
        <v>581</v>
      </c>
      <c r="E1099" s="1079">
        <v>299758</v>
      </c>
      <c r="F1099" s="1079">
        <v>331332</v>
      </c>
      <c r="G1099" s="1079">
        <v>330298</v>
      </c>
      <c r="H1099" s="1080">
        <f t="shared" si="254"/>
        <v>0.99687926309562613</v>
      </c>
      <c r="I1099" s="1037"/>
    </row>
    <row r="1100" spans="1:9" ht="25.5">
      <c r="A1100" s="1394"/>
      <c r="B1100" s="1395"/>
      <c r="C1100" s="1359" t="s">
        <v>835</v>
      </c>
      <c r="D1100" s="1360" t="s">
        <v>836</v>
      </c>
      <c r="E1100" s="1079">
        <v>174660</v>
      </c>
      <c r="F1100" s="1079">
        <v>0</v>
      </c>
      <c r="G1100" s="1079">
        <v>0</v>
      </c>
      <c r="H1100" s="1080"/>
      <c r="I1100" s="1037"/>
    </row>
    <row r="1101" spans="1:9" ht="16.5" customHeight="1">
      <c r="A1101" s="1394"/>
      <c r="B1101" s="1395"/>
      <c r="C1101" s="1359" t="s">
        <v>582</v>
      </c>
      <c r="D1101" s="1360" t="s">
        <v>583</v>
      </c>
      <c r="E1101" s="1079">
        <v>27830</v>
      </c>
      <c r="F1101" s="1079">
        <v>27030</v>
      </c>
      <c r="G1101" s="1079">
        <v>24347</v>
      </c>
      <c r="H1101" s="1080">
        <f t="shared" si="254"/>
        <v>0.90073991860895297</v>
      </c>
      <c r="I1101" s="1037"/>
    </row>
    <row r="1102" spans="1:9" ht="16.5" customHeight="1">
      <c r="A1102" s="1394"/>
      <c r="B1102" s="1395"/>
      <c r="C1102" s="1359" t="s">
        <v>164</v>
      </c>
      <c r="D1102" s="1360" t="s">
        <v>584</v>
      </c>
      <c r="E1102" s="1079">
        <v>80</v>
      </c>
      <c r="F1102" s="1079">
        <v>80</v>
      </c>
      <c r="G1102" s="1079">
        <v>75</v>
      </c>
      <c r="H1102" s="1080">
        <f t="shared" si="254"/>
        <v>0.9375</v>
      </c>
      <c r="I1102" s="1037"/>
    </row>
    <row r="1103" spans="1:9" ht="16.5" customHeight="1">
      <c r="A1103" s="1394"/>
      <c r="B1103" s="1395"/>
      <c r="C1103" s="1359" t="s">
        <v>585</v>
      </c>
      <c r="D1103" s="1360" t="s">
        <v>586</v>
      </c>
      <c r="E1103" s="1079">
        <v>9042</v>
      </c>
      <c r="F1103" s="1079">
        <v>9042</v>
      </c>
      <c r="G1103" s="1079">
        <v>9042</v>
      </c>
      <c r="H1103" s="1080">
        <f t="shared" si="254"/>
        <v>1</v>
      </c>
      <c r="I1103" s="1037"/>
    </row>
    <row r="1104" spans="1:9" ht="17.100000000000001" customHeight="1">
      <c r="A1104" s="1394"/>
      <c r="B1104" s="1395"/>
      <c r="C1104" s="1359" t="s">
        <v>587</v>
      </c>
      <c r="D1104" s="1360" t="s">
        <v>588</v>
      </c>
      <c r="E1104" s="1079">
        <v>16840</v>
      </c>
      <c r="F1104" s="1079">
        <v>16840</v>
      </c>
      <c r="G1104" s="1079">
        <v>13060</v>
      </c>
      <c r="H1104" s="1080">
        <f t="shared" si="254"/>
        <v>0.77553444180522568</v>
      </c>
      <c r="I1104" s="1037"/>
    </row>
    <row r="1105" spans="1:9" ht="17.100000000000001" customHeight="1">
      <c r="A1105" s="1394"/>
      <c r="B1105" s="1395"/>
      <c r="C1105" s="1359" t="s">
        <v>589</v>
      </c>
      <c r="D1105" s="1360" t="s">
        <v>590</v>
      </c>
      <c r="E1105" s="1079">
        <v>23670</v>
      </c>
      <c r="F1105" s="1079">
        <v>22819</v>
      </c>
      <c r="G1105" s="1079">
        <v>21234</v>
      </c>
      <c r="H1105" s="1080">
        <f t="shared" si="254"/>
        <v>0.93054033919102497</v>
      </c>
      <c r="I1105" s="1037"/>
    </row>
    <row r="1106" spans="1:9" ht="17.100000000000001" customHeight="1">
      <c r="A1106" s="1394"/>
      <c r="B1106" s="1395"/>
      <c r="C1106" s="1359" t="s">
        <v>591</v>
      </c>
      <c r="D1106" s="1360" t="s">
        <v>592</v>
      </c>
      <c r="E1106" s="1079">
        <v>601408</v>
      </c>
      <c r="F1106" s="1079">
        <v>575575</v>
      </c>
      <c r="G1106" s="1079">
        <v>562475</v>
      </c>
      <c r="H1106" s="1080">
        <f t="shared" si="254"/>
        <v>0.97724015115319462</v>
      </c>
      <c r="I1106" s="1037"/>
    </row>
    <row r="1107" spans="1:9" ht="17.100000000000001" customHeight="1">
      <c r="A1107" s="1394"/>
      <c r="B1107" s="1395"/>
      <c r="C1107" s="1359" t="s">
        <v>597</v>
      </c>
      <c r="D1107" s="1360" t="s">
        <v>837</v>
      </c>
      <c r="E1107" s="1079">
        <v>24193</v>
      </c>
      <c r="F1107" s="1079">
        <v>24261</v>
      </c>
      <c r="G1107" s="1079">
        <v>24180</v>
      </c>
      <c r="H1107" s="1080">
        <f t="shared" si="254"/>
        <v>0.99666130827253618</v>
      </c>
      <c r="I1107" s="1037"/>
    </row>
    <row r="1108" spans="1:9" ht="17.100000000000001" customHeight="1">
      <c r="A1108" s="1394"/>
      <c r="B1108" s="1395"/>
      <c r="C1108" s="1359" t="s">
        <v>148</v>
      </c>
      <c r="D1108" s="1360" t="s">
        <v>601</v>
      </c>
      <c r="E1108" s="1079">
        <v>11951</v>
      </c>
      <c r="F1108" s="1079">
        <v>14310</v>
      </c>
      <c r="G1108" s="1079">
        <v>12910</v>
      </c>
      <c r="H1108" s="1080">
        <f t="shared" si="254"/>
        <v>0.90216631726065688</v>
      </c>
      <c r="I1108" s="1037"/>
    </row>
    <row r="1109" spans="1:9" ht="17.100000000000001" customHeight="1">
      <c r="A1109" s="1394"/>
      <c r="B1109" s="1395"/>
      <c r="C1109" s="1098"/>
      <c r="D1109" s="1098"/>
      <c r="E1109" s="1440"/>
      <c r="F1109" s="1440"/>
      <c r="G1109" s="1440"/>
      <c r="H1109" s="1441"/>
      <c r="I1109" s="1037"/>
    </row>
    <row r="1110" spans="1:9" ht="17.100000000000001" customHeight="1">
      <c r="A1110" s="1394"/>
      <c r="B1110" s="1395"/>
      <c r="C1110" s="2219" t="s">
        <v>779</v>
      </c>
      <c r="D1110" s="2219"/>
      <c r="E1110" s="1079">
        <f>E1111+E1112</f>
        <v>51262</v>
      </c>
      <c r="F1110" s="1079">
        <f t="shared" ref="F1110:G1110" si="259">F1111+F1112</f>
        <v>486616</v>
      </c>
      <c r="G1110" s="1079">
        <f t="shared" si="259"/>
        <v>479011</v>
      </c>
      <c r="H1110" s="1080">
        <f t="shared" si="254"/>
        <v>0.98437166061124171</v>
      </c>
      <c r="I1110" s="1037"/>
    </row>
    <row r="1111" spans="1:9" ht="17.100000000000001" customHeight="1">
      <c r="A1111" s="1394"/>
      <c r="B1111" s="1395"/>
      <c r="C1111" s="1453" t="s">
        <v>603</v>
      </c>
      <c r="D1111" s="1397" t="s">
        <v>604</v>
      </c>
      <c r="E1111" s="1079">
        <v>51262</v>
      </c>
      <c r="F1111" s="1079">
        <v>87616</v>
      </c>
      <c r="G1111" s="1079">
        <v>84511</v>
      </c>
      <c r="H1111" s="1080">
        <f t="shared" si="254"/>
        <v>0.96456126734842951</v>
      </c>
      <c r="I1111" s="1037"/>
    </row>
    <row r="1112" spans="1:9" ht="17.100000000000001" customHeight="1">
      <c r="A1112" s="1394"/>
      <c r="B1112" s="1395"/>
      <c r="C1112" s="1134" t="s">
        <v>838</v>
      </c>
      <c r="D1112" s="1234" t="s">
        <v>839</v>
      </c>
      <c r="E1112" s="1079">
        <v>0</v>
      </c>
      <c r="F1112" s="1079">
        <v>399000</v>
      </c>
      <c r="G1112" s="1079">
        <v>394500</v>
      </c>
      <c r="H1112" s="1080">
        <f t="shared" si="254"/>
        <v>0.98872180451127822</v>
      </c>
      <c r="I1112" s="1037"/>
    </row>
    <row r="1113" spans="1:9">
      <c r="A1113" s="1394"/>
      <c r="B1113" s="1395"/>
      <c r="C1113" s="1454"/>
      <c r="D1113" s="1455"/>
      <c r="E1113" s="1231"/>
      <c r="F1113" s="1231"/>
      <c r="G1113" s="1231"/>
      <c r="H1113" s="1232"/>
      <c r="I1113" s="1037"/>
    </row>
    <row r="1114" spans="1:9" ht="17.100000000000001" customHeight="1">
      <c r="A1114" s="1394"/>
      <c r="B1114" s="1395"/>
      <c r="C1114" s="2241" t="s">
        <v>616</v>
      </c>
      <c r="D1114" s="2242"/>
      <c r="E1114" s="1456">
        <f>SUM(E1115:E1130)</f>
        <v>292400</v>
      </c>
      <c r="F1114" s="1456">
        <f t="shared" ref="F1114:G1114" si="260">SUM(F1115:F1130)</f>
        <v>292400</v>
      </c>
      <c r="G1114" s="1456">
        <f t="shared" si="260"/>
        <v>292395</v>
      </c>
      <c r="H1114" s="1457">
        <f t="shared" si="254"/>
        <v>0.99998290013679891</v>
      </c>
      <c r="I1114" s="1037"/>
    </row>
    <row r="1115" spans="1:9" ht="17.100000000000001" customHeight="1">
      <c r="A1115" s="1394"/>
      <c r="B1115" s="1395"/>
      <c r="C1115" s="1359" t="s">
        <v>840</v>
      </c>
      <c r="D1115" s="1312" t="s">
        <v>839</v>
      </c>
      <c r="E1115" s="1458">
        <v>46629</v>
      </c>
      <c r="F1115" s="1458">
        <v>49427</v>
      </c>
      <c r="G1115" s="1458">
        <v>49426</v>
      </c>
      <c r="H1115" s="1459">
        <f t="shared" si="254"/>
        <v>0.99997976814291789</v>
      </c>
      <c r="I1115" s="1037"/>
    </row>
    <row r="1116" spans="1:9" ht="17.100000000000001" customHeight="1">
      <c r="A1116" s="1394"/>
      <c r="B1116" s="1395"/>
      <c r="C1116" s="1359" t="s">
        <v>841</v>
      </c>
      <c r="D1116" s="1312" t="s">
        <v>839</v>
      </c>
      <c r="E1116" s="1458">
        <v>3241</v>
      </c>
      <c r="F1116" s="1458">
        <v>3436</v>
      </c>
      <c r="G1116" s="1458">
        <v>3436</v>
      </c>
      <c r="H1116" s="1459">
        <f t="shared" si="254"/>
        <v>1</v>
      </c>
      <c r="I1116" s="1037"/>
    </row>
    <row r="1117" spans="1:9" ht="17.100000000000001" customHeight="1">
      <c r="A1117" s="1394"/>
      <c r="B1117" s="1395"/>
      <c r="C1117" s="1359" t="s">
        <v>668</v>
      </c>
      <c r="D1117" s="1102" t="s">
        <v>563</v>
      </c>
      <c r="E1117" s="1460">
        <v>0</v>
      </c>
      <c r="F1117" s="1458">
        <v>24808</v>
      </c>
      <c r="G1117" s="1458">
        <v>24808</v>
      </c>
      <c r="H1117" s="1459">
        <f t="shared" si="254"/>
        <v>1</v>
      </c>
      <c r="I1117" s="1037"/>
    </row>
    <row r="1118" spans="1:9" ht="17.100000000000001" customHeight="1">
      <c r="A1118" s="1394"/>
      <c r="B1118" s="1395"/>
      <c r="C1118" s="1359" t="s">
        <v>621</v>
      </c>
      <c r="D1118" s="1102" t="s">
        <v>563</v>
      </c>
      <c r="E1118" s="1456">
        <v>0</v>
      </c>
      <c r="F1118" s="1458">
        <v>24808</v>
      </c>
      <c r="G1118" s="1458">
        <v>24808</v>
      </c>
      <c r="H1118" s="1459">
        <f t="shared" si="254"/>
        <v>1</v>
      </c>
      <c r="I1118" s="1037"/>
    </row>
    <row r="1119" spans="1:9" ht="17.100000000000001" customHeight="1">
      <c r="A1119" s="1394"/>
      <c r="B1119" s="1395"/>
      <c r="C1119" s="1359" t="s">
        <v>669</v>
      </c>
      <c r="D1119" s="1360" t="s">
        <v>566</v>
      </c>
      <c r="E1119" s="1458">
        <v>19160</v>
      </c>
      <c r="F1119" s="1458">
        <v>18266</v>
      </c>
      <c r="G1119" s="1458">
        <v>18264</v>
      </c>
      <c r="H1119" s="1459">
        <f t="shared" si="254"/>
        <v>0.99989050695280846</v>
      </c>
      <c r="I1119" s="1037"/>
    </row>
    <row r="1120" spans="1:9" ht="17.100000000000001" customHeight="1">
      <c r="A1120" s="1394"/>
      <c r="B1120" s="1395"/>
      <c r="C1120" s="1359" t="s">
        <v>625</v>
      </c>
      <c r="D1120" s="1360" t="s">
        <v>566</v>
      </c>
      <c r="E1120" s="1458">
        <v>5242</v>
      </c>
      <c r="F1120" s="1458">
        <v>5223</v>
      </c>
      <c r="G1120" s="1458">
        <v>5222</v>
      </c>
      <c r="H1120" s="1459">
        <f t="shared" si="254"/>
        <v>0.99980853915374301</v>
      </c>
      <c r="I1120" s="1037"/>
    </row>
    <row r="1121" spans="1:9" ht="17.100000000000001" customHeight="1">
      <c r="A1121" s="1394"/>
      <c r="B1121" s="1395"/>
      <c r="C1121" s="1359" t="s">
        <v>670</v>
      </c>
      <c r="D1121" s="1360" t="s">
        <v>567</v>
      </c>
      <c r="E1121" s="1458">
        <v>600</v>
      </c>
      <c r="F1121" s="1458">
        <v>184</v>
      </c>
      <c r="G1121" s="1458">
        <v>184</v>
      </c>
      <c r="H1121" s="1459">
        <f t="shared" si="254"/>
        <v>1</v>
      </c>
      <c r="I1121" s="1037"/>
    </row>
    <row r="1122" spans="1:9" ht="17.100000000000001" customHeight="1">
      <c r="A1122" s="1394"/>
      <c r="B1122" s="1395"/>
      <c r="C1122" s="1359" t="s">
        <v>627</v>
      </c>
      <c r="D1122" s="1360" t="s">
        <v>567</v>
      </c>
      <c r="E1122" s="1458">
        <v>599</v>
      </c>
      <c r="F1122" s="1458">
        <v>184</v>
      </c>
      <c r="G1122" s="1458">
        <v>184</v>
      </c>
      <c r="H1122" s="1459">
        <f t="shared" si="254"/>
        <v>1</v>
      </c>
      <c r="I1122" s="1037"/>
    </row>
    <row r="1123" spans="1:9" ht="17.100000000000001" customHeight="1">
      <c r="A1123" s="1394"/>
      <c r="B1123" s="1395"/>
      <c r="C1123" s="1359" t="s">
        <v>738</v>
      </c>
      <c r="D1123" s="1360" t="s">
        <v>569</v>
      </c>
      <c r="E1123" s="1458">
        <v>24439</v>
      </c>
      <c r="F1123" s="1458">
        <v>0</v>
      </c>
      <c r="G1123" s="1458">
        <v>0</v>
      </c>
      <c r="H1123" s="1459"/>
      <c r="I1123" s="1037"/>
    </row>
    <row r="1124" spans="1:9" ht="17.100000000000001" customHeight="1">
      <c r="A1124" s="1394"/>
      <c r="B1124" s="1395"/>
      <c r="C1124" s="1359" t="s">
        <v>629</v>
      </c>
      <c r="D1124" s="1360" t="s">
        <v>569</v>
      </c>
      <c r="E1124" s="1458">
        <v>24440</v>
      </c>
      <c r="F1124" s="1458">
        <v>0</v>
      </c>
      <c r="G1124" s="1458">
        <v>0</v>
      </c>
      <c r="H1124" s="1459"/>
      <c r="I1124" s="1037"/>
    </row>
    <row r="1125" spans="1:9" ht="17.100000000000001" customHeight="1">
      <c r="A1125" s="1394"/>
      <c r="B1125" s="1395"/>
      <c r="C1125" s="1359" t="s">
        <v>842</v>
      </c>
      <c r="D1125" s="1360" t="s">
        <v>725</v>
      </c>
      <c r="E1125" s="1458">
        <v>110307</v>
      </c>
      <c r="F1125" s="1458">
        <v>110307</v>
      </c>
      <c r="G1125" s="1458">
        <v>110307</v>
      </c>
      <c r="H1125" s="1459">
        <f t="shared" si="254"/>
        <v>1</v>
      </c>
      <c r="I1125" s="1037"/>
    </row>
    <row r="1126" spans="1:9" ht="17.100000000000001" customHeight="1">
      <c r="A1126" s="1394"/>
      <c r="B1126" s="1395"/>
      <c r="C1126" s="1359" t="s">
        <v>843</v>
      </c>
      <c r="D1126" s="1360" t="s">
        <v>725</v>
      </c>
      <c r="E1126" s="1458">
        <v>7043</v>
      </c>
      <c r="F1126" s="1458">
        <v>7043</v>
      </c>
      <c r="G1126" s="1458">
        <v>7043</v>
      </c>
      <c r="H1126" s="1459">
        <f t="shared" si="254"/>
        <v>1</v>
      </c>
      <c r="I1126" s="1037"/>
    </row>
    <row r="1127" spans="1:9" ht="17.100000000000001" customHeight="1">
      <c r="A1127" s="1394"/>
      <c r="B1127" s="1395"/>
      <c r="C1127" s="1359" t="s">
        <v>672</v>
      </c>
      <c r="D1127" s="1360" t="s">
        <v>581</v>
      </c>
      <c r="E1127" s="1458">
        <v>34128</v>
      </c>
      <c r="F1127" s="1458">
        <v>32271</v>
      </c>
      <c r="G1127" s="1458">
        <v>32270</v>
      </c>
      <c r="H1127" s="1459">
        <f t="shared" si="254"/>
        <v>0.99996901242601721</v>
      </c>
      <c r="I1127" s="1037"/>
    </row>
    <row r="1128" spans="1:9" ht="17.100000000000001" customHeight="1">
      <c r="A1128" s="1394"/>
      <c r="B1128" s="1395"/>
      <c r="C1128" s="1359" t="s">
        <v>638</v>
      </c>
      <c r="D1128" s="1360" t="s">
        <v>581</v>
      </c>
      <c r="E1128" s="1458">
        <v>2372</v>
      </c>
      <c r="F1128" s="1458">
        <v>2243</v>
      </c>
      <c r="G1128" s="1458">
        <v>2243</v>
      </c>
      <c r="H1128" s="1459">
        <f t="shared" si="254"/>
        <v>1</v>
      </c>
      <c r="I1128" s="1037"/>
    </row>
    <row r="1129" spans="1:9" ht="17.100000000000001" customHeight="1">
      <c r="A1129" s="1394"/>
      <c r="B1129" s="1395"/>
      <c r="C1129" s="1359" t="s">
        <v>674</v>
      </c>
      <c r="D1129" s="1360" t="s">
        <v>601</v>
      </c>
      <c r="E1129" s="1458">
        <v>13277</v>
      </c>
      <c r="F1129" s="1458">
        <v>13277</v>
      </c>
      <c r="G1129" s="1458">
        <v>13277</v>
      </c>
      <c r="H1129" s="1459">
        <f t="shared" si="254"/>
        <v>1</v>
      </c>
      <c r="I1129" s="1037"/>
    </row>
    <row r="1130" spans="1:9" ht="17.100000000000001" customHeight="1">
      <c r="A1130" s="1394"/>
      <c r="B1130" s="1395"/>
      <c r="C1130" s="1453" t="s">
        <v>646</v>
      </c>
      <c r="D1130" s="1461" t="s">
        <v>601</v>
      </c>
      <c r="E1130" s="1458">
        <v>923</v>
      </c>
      <c r="F1130" s="1458">
        <v>923</v>
      </c>
      <c r="G1130" s="1458">
        <v>923</v>
      </c>
      <c r="H1130" s="1459">
        <f t="shared" si="254"/>
        <v>1</v>
      </c>
      <c r="I1130" s="1037"/>
    </row>
    <row r="1131" spans="1:9" ht="17.100000000000001" customHeight="1">
      <c r="A1131" s="1394"/>
      <c r="B1131" s="1395"/>
      <c r="C1131" s="1249"/>
      <c r="D1131" s="1462"/>
      <c r="E1131" s="1463"/>
      <c r="F1131" s="1463"/>
      <c r="G1131" s="1463"/>
      <c r="H1131" s="1464"/>
      <c r="I1131" s="1037"/>
    </row>
    <row r="1132" spans="1:9" ht="17.100000000000001" customHeight="1">
      <c r="A1132" s="1394"/>
      <c r="B1132" s="1395"/>
      <c r="C1132" s="2148" t="s">
        <v>605</v>
      </c>
      <c r="D1132" s="2148"/>
      <c r="E1132" s="1063">
        <f t="shared" ref="E1132:G1132" si="261">E1133</f>
        <v>11000</v>
      </c>
      <c r="F1132" s="1063">
        <f t="shared" si="261"/>
        <v>33000</v>
      </c>
      <c r="G1132" s="1063">
        <f t="shared" si="261"/>
        <v>33000</v>
      </c>
      <c r="H1132" s="1064">
        <f t="shared" si="254"/>
        <v>1</v>
      </c>
      <c r="I1132" s="1037"/>
    </row>
    <row r="1133" spans="1:9" ht="17.100000000000001" customHeight="1">
      <c r="A1133" s="1394"/>
      <c r="B1133" s="1395"/>
      <c r="C1133" s="2219" t="s">
        <v>606</v>
      </c>
      <c r="D1133" s="2240"/>
      <c r="E1133" s="1079">
        <f>SUM(E1134:E1134)</f>
        <v>11000</v>
      </c>
      <c r="F1133" s="1079">
        <f t="shared" ref="F1133:G1133" si="262">SUM(F1134:F1134)</f>
        <v>33000</v>
      </c>
      <c r="G1133" s="1079">
        <f t="shared" si="262"/>
        <v>33000</v>
      </c>
      <c r="H1133" s="1080">
        <f t="shared" si="254"/>
        <v>1</v>
      </c>
      <c r="I1133" s="1037"/>
    </row>
    <row r="1134" spans="1:9" ht="17.100000000000001" customHeight="1" thickBot="1">
      <c r="A1134" s="1394"/>
      <c r="B1134" s="1395"/>
      <c r="C1134" s="1465" t="s">
        <v>144</v>
      </c>
      <c r="D1134" s="1126" t="s">
        <v>650</v>
      </c>
      <c r="E1134" s="1079">
        <v>11000</v>
      </c>
      <c r="F1134" s="1079">
        <v>33000</v>
      </c>
      <c r="G1134" s="1079">
        <v>33000</v>
      </c>
      <c r="H1134" s="1080">
        <f t="shared" si="254"/>
        <v>1</v>
      </c>
      <c r="I1134" s="1037"/>
    </row>
    <row r="1135" spans="1:9" ht="17.100000000000001" customHeight="1" thickBot="1">
      <c r="A1135" s="1394"/>
      <c r="B1135" s="1144" t="s">
        <v>844</v>
      </c>
      <c r="C1135" s="1145"/>
      <c r="D1135" s="1146" t="s">
        <v>454</v>
      </c>
      <c r="E1135" s="1147">
        <f>E1136+E1194</f>
        <v>12067899</v>
      </c>
      <c r="F1135" s="1147">
        <f>F1136+F1194</f>
        <v>18240531</v>
      </c>
      <c r="G1135" s="1147">
        <f>G1136+G1194</f>
        <v>16505655</v>
      </c>
      <c r="H1135" s="1148">
        <f t="shared" si="254"/>
        <v>0.90488895306830708</v>
      </c>
      <c r="I1135" s="1037"/>
    </row>
    <row r="1136" spans="1:9" ht="17.100000000000001" customHeight="1">
      <c r="A1136" s="1394"/>
      <c r="B1136" s="1395"/>
      <c r="C1136" s="2112" t="s">
        <v>560</v>
      </c>
      <c r="D1136" s="2112"/>
      <c r="E1136" s="1063">
        <f>E1137+E1157+E1160</f>
        <v>12024865</v>
      </c>
      <c r="F1136" s="1063">
        <f>F1137+F1157+F1160</f>
        <v>18208137</v>
      </c>
      <c r="G1136" s="1063">
        <f>G1137+G1157+G1160</f>
        <v>16478796</v>
      </c>
      <c r="H1136" s="1064">
        <f t="shared" si="254"/>
        <v>0.90502372648008966</v>
      </c>
      <c r="I1136" s="1037"/>
    </row>
    <row r="1137" spans="1:9" ht="17.100000000000001" customHeight="1">
      <c r="A1137" s="1394"/>
      <c r="B1137" s="1395"/>
      <c r="C1137" s="2224" t="s">
        <v>561</v>
      </c>
      <c r="D1137" s="2224"/>
      <c r="E1137" s="1079">
        <f t="shared" ref="E1137:G1137" si="263">E1138+E1145</f>
        <v>8217124</v>
      </c>
      <c r="F1137" s="1079">
        <f t="shared" si="263"/>
        <v>8771507</v>
      </c>
      <c r="G1137" s="1079">
        <f t="shared" si="263"/>
        <v>8688502</v>
      </c>
      <c r="H1137" s="1080">
        <f t="shared" si="254"/>
        <v>0.99053697386321415</v>
      </c>
      <c r="I1137" s="1037"/>
    </row>
    <row r="1138" spans="1:9" ht="17.100000000000001" customHeight="1">
      <c r="A1138" s="1394"/>
      <c r="B1138" s="1395"/>
      <c r="C1138" s="2236" t="s">
        <v>562</v>
      </c>
      <c r="D1138" s="2236"/>
      <c r="E1138" s="1115">
        <f t="shared" ref="E1138:G1138" si="264">SUM(E1139:E1143)</f>
        <v>7563651</v>
      </c>
      <c r="F1138" s="1115">
        <f>SUM(F1139:F1143)</f>
        <v>7981145</v>
      </c>
      <c r="G1138" s="1115">
        <f t="shared" si="264"/>
        <v>7967299</v>
      </c>
      <c r="H1138" s="1116">
        <f t="shared" si="254"/>
        <v>0.99826516120180753</v>
      </c>
      <c r="I1138" s="1037"/>
    </row>
    <row r="1139" spans="1:9" ht="17.100000000000001" customHeight="1">
      <c r="A1139" s="1394"/>
      <c r="B1139" s="1395"/>
      <c r="C1139" s="1359" t="s">
        <v>145</v>
      </c>
      <c r="D1139" s="1360" t="s">
        <v>563</v>
      </c>
      <c r="E1139" s="1079">
        <v>5922004</v>
      </c>
      <c r="F1139" s="1079">
        <v>6322333</v>
      </c>
      <c r="G1139" s="1079">
        <v>6313962</v>
      </c>
      <c r="H1139" s="1080">
        <f t="shared" si="254"/>
        <v>0.99867596344577236</v>
      </c>
      <c r="I1139" s="1037"/>
    </row>
    <row r="1140" spans="1:9" ht="17.100000000000001" customHeight="1">
      <c r="A1140" s="1394"/>
      <c r="B1140" s="1395"/>
      <c r="C1140" s="1359" t="s">
        <v>564</v>
      </c>
      <c r="D1140" s="1360" t="s">
        <v>565</v>
      </c>
      <c r="E1140" s="1079">
        <v>447017</v>
      </c>
      <c r="F1140" s="1079">
        <v>452135</v>
      </c>
      <c r="G1140" s="1079">
        <v>452134</v>
      </c>
      <c r="H1140" s="1080">
        <f t="shared" si="254"/>
        <v>0.99999778827120223</v>
      </c>
      <c r="I1140" s="1037"/>
    </row>
    <row r="1141" spans="1:9" ht="17.100000000000001" customHeight="1">
      <c r="A1141" s="1394"/>
      <c r="B1141" s="1395"/>
      <c r="C1141" s="1359" t="s">
        <v>146</v>
      </c>
      <c r="D1141" s="1360" t="s">
        <v>566</v>
      </c>
      <c r="E1141" s="1079">
        <v>1066387</v>
      </c>
      <c r="F1141" s="1079">
        <v>1086253</v>
      </c>
      <c r="G1141" s="1079">
        <v>1086042</v>
      </c>
      <c r="H1141" s="1080">
        <f t="shared" si="254"/>
        <v>0.99980575427639784</v>
      </c>
      <c r="I1141" s="1037"/>
    </row>
    <row r="1142" spans="1:9" ht="17.100000000000001" customHeight="1">
      <c r="A1142" s="1394"/>
      <c r="B1142" s="1395"/>
      <c r="C1142" s="1367" t="s">
        <v>147</v>
      </c>
      <c r="D1142" s="1368" t="s">
        <v>567</v>
      </c>
      <c r="E1142" s="1369">
        <v>124143</v>
      </c>
      <c r="F1142" s="1369">
        <v>109874</v>
      </c>
      <c r="G1142" s="1369">
        <v>109171</v>
      </c>
      <c r="H1142" s="1370">
        <f t="shared" si="254"/>
        <v>0.99360176201831185</v>
      </c>
      <c r="I1142" s="1037"/>
    </row>
    <row r="1143" spans="1:9" ht="17.100000000000001" customHeight="1">
      <c r="A1143" s="1394"/>
      <c r="B1143" s="1395"/>
      <c r="C1143" s="1359" t="s">
        <v>568</v>
      </c>
      <c r="D1143" s="1466" t="s">
        <v>569</v>
      </c>
      <c r="E1143" s="1365">
        <v>4100</v>
      </c>
      <c r="F1143" s="1365">
        <v>10550</v>
      </c>
      <c r="G1143" s="1365">
        <v>5990</v>
      </c>
      <c r="H1143" s="1366">
        <f t="shared" si="254"/>
        <v>0.56777251184834121</v>
      </c>
      <c r="I1143" s="1037"/>
    </row>
    <row r="1144" spans="1:9" ht="17.100000000000001" customHeight="1">
      <c r="A1144" s="1394"/>
      <c r="B1144" s="1395"/>
      <c r="C1144" s="1098"/>
      <c r="D1144" s="1098"/>
      <c r="E1144" s="1440"/>
      <c r="F1144" s="1440"/>
      <c r="G1144" s="1440"/>
      <c r="H1144" s="1441"/>
      <c r="I1144" s="1037"/>
    </row>
    <row r="1145" spans="1:9" ht="17.100000000000001" customHeight="1">
      <c r="A1145" s="1394"/>
      <c r="B1145" s="1395"/>
      <c r="C1145" s="2225" t="s">
        <v>570</v>
      </c>
      <c r="D1145" s="2225"/>
      <c r="E1145" s="1115">
        <f>SUM(E1146:E1155)</f>
        <v>653473</v>
      </c>
      <c r="F1145" s="1115">
        <f>SUM(F1146:F1155)</f>
        <v>790362</v>
      </c>
      <c r="G1145" s="1115">
        <f>SUM(G1146:G1155)</f>
        <v>721203</v>
      </c>
      <c r="H1145" s="1116">
        <f t="shared" si="254"/>
        <v>0.91249705830998962</v>
      </c>
      <c r="I1145" s="1037"/>
    </row>
    <row r="1146" spans="1:9" ht="17.100000000000001" customHeight="1">
      <c r="A1146" s="1394"/>
      <c r="B1146" s="1395"/>
      <c r="C1146" s="1359" t="s">
        <v>571</v>
      </c>
      <c r="D1146" s="1360" t="s">
        <v>572</v>
      </c>
      <c r="E1146" s="1079">
        <v>90977</v>
      </c>
      <c r="F1146" s="1079">
        <v>90977</v>
      </c>
      <c r="G1146" s="1079">
        <v>90977</v>
      </c>
      <c r="H1146" s="1080">
        <f t="shared" si="254"/>
        <v>1</v>
      </c>
      <c r="I1146" s="1037"/>
    </row>
    <row r="1147" spans="1:9" ht="17.100000000000001" customHeight="1">
      <c r="A1147" s="1394"/>
      <c r="B1147" s="1395"/>
      <c r="C1147" s="1359" t="s">
        <v>143</v>
      </c>
      <c r="D1147" s="1360" t="s">
        <v>573</v>
      </c>
      <c r="E1147" s="1079">
        <v>7200</v>
      </c>
      <c r="F1147" s="1079">
        <v>5100</v>
      </c>
      <c r="G1147" s="1079">
        <v>4659</v>
      </c>
      <c r="H1147" s="1080">
        <f t="shared" si="254"/>
        <v>0.91352941176470592</v>
      </c>
      <c r="I1147" s="1037"/>
    </row>
    <row r="1148" spans="1:9" ht="17.100000000000001" customHeight="1">
      <c r="A1148" s="1394"/>
      <c r="B1148" s="1395"/>
      <c r="C1148" s="1359" t="s">
        <v>576</v>
      </c>
      <c r="D1148" s="1360" t="s">
        <v>577</v>
      </c>
      <c r="E1148" s="1079">
        <v>77061</v>
      </c>
      <c r="F1148" s="1079">
        <v>77061</v>
      </c>
      <c r="G1148" s="1079">
        <v>77061</v>
      </c>
      <c r="H1148" s="1080">
        <f t="shared" si="254"/>
        <v>1</v>
      </c>
      <c r="I1148" s="1037"/>
    </row>
    <row r="1149" spans="1:9" ht="17.100000000000001" customHeight="1">
      <c r="A1149" s="1394"/>
      <c r="B1149" s="1395"/>
      <c r="C1149" s="1359" t="s">
        <v>24</v>
      </c>
      <c r="D1149" s="1360" t="s">
        <v>578</v>
      </c>
      <c r="E1149" s="1079">
        <v>0</v>
      </c>
      <c r="F1149" s="1079">
        <v>107000</v>
      </c>
      <c r="G1149" s="1079">
        <v>81234</v>
      </c>
      <c r="H1149" s="1080">
        <f t="shared" si="254"/>
        <v>0.75919626168224297</v>
      </c>
      <c r="I1149" s="1037"/>
    </row>
    <row r="1150" spans="1:9" ht="17.100000000000001" customHeight="1">
      <c r="A1150" s="1394"/>
      <c r="B1150" s="1395"/>
      <c r="C1150" s="1359" t="s">
        <v>579</v>
      </c>
      <c r="D1150" s="1360" t="s">
        <v>580</v>
      </c>
      <c r="E1150" s="1079">
        <v>13180</v>
      </c>
      <c r="F1150" s="1079">
        <v>15486</v>
      </c>
      <c r="G1150" s="1079">
        <v>14019</v>
      </c>
      <c r="H1150" s="1080">
        <f t="shared" si="254"/>
        <v>0.90526927547462221</v>
      </c>
      <c r="I1150" s="1037"/>
    </row>
    <row r="1151" spans="1:9" ht="17.100000000000001" customHeight="1">
      <c r="A1151" s="1394"/>
      <c r="B1151" s="1395"/>
      <c r="C1151" s="1359" t="s">
        <v>25</v>
      </c>
      <c r="D1151" s="1360" t="s">
        <v>581</v>
      </c>
      <c r="E1151" s="1079">
        <v>10470</v>
      </c>
      <c r="F1151" s="1079">
        <v>52180</v>
      </c>
      <c r="G1151" s="1079">
        <v>49314</v>
      </c>
      <c r="H1151" s="1080">
        <f t="shared" si="254"/>
        <v>0.94507474128018398</v>
      </c>
      <c r="I1151" s="1037"/>
    </row>
    <row r="1152" spans="1:9" ht="17.100000000000001" customHeight="1">
      <c r="A1152" s="1394"/>
      <c r="B1152" s="1395"/>
      <c r="C1152" s="1359" t="s">
        <v>587</v>
      </c>
      <c r="D1152" s="1360" t="s">
        <v>588</v>
      </c>
      <c r="E1152" s="1079">
        <v>40304</v>
      </c>
      <c r="F1152" s="1079">
        <v>29452</v>
      </c>
      <c r="G1152" s="1079">
        <v>28225</v>
      </c>
      <c r="H1152" s="1080">
        <f t="shared" si="254"/>
        <v>0.95833899225859021</v>
      </c>
      <c r="I1152" s="1037"/>
    </row>
    <row r="1153" spans="1:9" ht="17.100000000000001" hidden="1" customHeight="1">
      <c r="A1153" s="1394"/>
      <c r="B1153" s="1395"/>
      <c r="C1153" s="1359" t="s">
        <v>589</v>
      </c>
      <c r="D1153" s="1360" t="s">
        <v>590</v>
      </c>
      <c r="E1153" s="1079">
        <v>0</v>
      </c>
      <c r="F1153" s="1079"/>
      <c r="G1153" s="1079"/>
      <c r="H1153" s="1080" t="e">
        <f t="shared" ref="H1153:H1216" si="265">G1153/F1153</f>
        <v>#DIV/0!</v>
      </c>
      <c r="I1153" s="1037"/>
    </row>
    <row r="1154" spans="1:9" ht="17.100000000000001" customHeight="1">
      <c r="A1154" s="1394"/>
      <c r="B1154" s="1395"/>
      <c r="C1154" s="1359" t="s">
        <v>591</v>
      </c>
      <c r="D1154" s="1360" t="s">
        <v>592</v>
      </c>
      <c r="E1154" s="1079">
        <v>248655</v>
      </c>
      <c r="F1154" s="1079">
        <v>248655</v>
      </c>
      <c r="G1154" s="1079">
        <v>248655</v>
      </c>
      <c r="H1154" s="1080">
        <f t="shared" si="265"/>
        <v>1</v>
      </c>
      <c r="I1154" s="1037"/>
    </row>
    <row r="1155" spans="1:9" ht="17.100000000000001" customHeight="1">
      <c r="A1155" s="1394"/>
      <c r="B1155" s="1395"/>
      <c r="C1155" s="1359" t="s">
        <v>148</v>
      </c>
      <c r="D1155" s="1360" t="s">
        <v>601</v>
      </c>
      <c r="E1155" s="1079">
        <v>165626</v>
      </c>
      <c r="F1155" s="1079">
        <v>164451</v>
      </c>
      <c r="G1155" s="1079">
        <v>127059</v>
      </c>
      <c r="H1155" s="1080">
        <f t="shared" si="265"/>
        <v>0.77262528047868362</v>
      </c>
      <c r="I1155" s="1037"/>
    </row>
    <row r="1156" spans="1:9" ht="17.100000000000001" customHeight="1">
      <c r="A1156" s="1394"/>
      <c r="B1156" s="1395"/>
      <c r="C1156" s="1213"/>
      <c r="D1156" s="1214"/>
      <c r="E1156" s="1215"/>
      <c r="F1156" s="1215"/>
      <c r="G1156" s="1215"/>
      <c r="H1156" s="1216"/>
      <c r="I1156" s="1037"/>
    </row>
    <row r="1157" spans="1:9" ht="17.100000000000001" customHeight="1">
      <c r="A1157" s="1394"/>
      <c r="B1157" s="1395"/>
      <c r="C1157" s="2238" t="s">
        <v>779</v>
      </c>
      <c r="D1157" s="2238"/>
      <c r="E1157" s="1467">
        <f t="shared" ref="E1157:G1157" si="266">E1158</f>
        <v>14600</v>
      </c>
      <c r="F1157" s="1467">
        <f t="shared" si="266"/>
        <v>14600</v>
      </c>
      <c r="G1157" s="1467">
        <f t="shared" si="266"/>
        <v>14460</v>
      </c>
      <c r="H1157" s="1468">
        <f t="shared" si="265"/>
        <v>0.99041095890410957</v>
      </c>
      <c r="I1157" s="1037"/>
    </row>
    <row r="1158" spans="1:9" ht="17.100000000000001" customHeight="1">
      <c r="A1158" s="1394"/>
      <c r="B1158" s="1395"/>
      <c r="C1158" s="1469" t="s">
        <v>603</v>
      </c>
      <c r="D1158" s="1250" t="s">
        <v>604</v>
      </c>
      <c r="E1158" s="1302">
        <v>14600</v>
      </c>
      <c r="F1158" s="1302">
        <v>14600</v>
      </c>
      <c r="G1158" s="1302">
        <v>14460</v>
      </c>
      <c r="H1158" s="1303">
        <f t="shared" si="265"/>
        <v>0.99041095890410957</v>
      </c>
      <c r="I1158" s="1037"/>
    </row>
    <row r="1159" spans="1:9">
      <c r="A1159" s="1394"/>
      <c r="B1159" s="1395"/>
      <c r="C1159" s="1248"/>
      <c r="D1159" s="1135"/>
      <c r="E1159" s="1302"/>
      <c r="F1159" s="1302"/>
      <c r="G1159" s="1302"/>
      <c r="H1159" s="1303"/>
      <c r="I1159" s="1037"/>
    </row>
    <row r="1160" spans="1:9" ht="17.25" customHeight="1">
      <c r="A1160" s="1394"/>
      <c r="B1160" s="1395"/>
      <c r="C1160" s="2239" t="s">
        <v>616</v>
      </c>
      <c r="D1160" s="2186"/>
      <c r="E1160" s="1103">
        <f>SUM(E1161:E1192)</f>
        <v>3793141</v>
      </c>
      <c r="F1160" s="1103">
        <f>SUM(F1161:F1192)</f>
        <v>9422030</v>
      </c>
      <c r="G1160" s="1103">
        <f>SUM(G1161:G1192)</f>
        <v>7775834</v>
      </c>
      <c r="H1160" s="1104">
        <f t="shared" si="265"/>
        <v>0.82528223747960894</v>
      </c>
      <c r="I1160" s="1037"/>
    </row>
    <row r="1161" spans="1:9" ht="54" customHeight="1">
      <c r="A1161" s="1394"/>
      <c r="B1161" s="1395"/>
      <c r="C1161" s="1470" t="s">
        <v>456</v>
      </c>
      <c r="D1161" s="1471" t="s">
        <v>845</v>
      </c>
      <c r="E1161" s="1079">
        <v>1530548</v>
      </c>
      <c r="F1161" s="1079">
        <v>1998308</v>
      </c>
      <c r="G1161" s="1079">
        <v>1623199</v>
      </c>
      <c r="H1161" s="1080">
        <f t="shared" si="265"/>
        <v>0.81228669454358382</v>
      </c>
      <c r="I1161" s="1037"/>
    </row>
    <row r="1162" spans="1:9" ht="51">
      <c r="A1162" s="1394"/>
      <c r="B1162" s="1395"/>
      <c r="C1162" s="1472" t="s">
        <v>359</v>
      </c>
      <c r="D1162" s="1471" t="s">
        <v>845</v>
      </c>
      <c r="E1162" s="1079">
        <v>53279</v>
      </c>
      <c r="F1162" s="1079">
        <v>136671</v>
      </c>
      <c r="G1162" s="1079">
        <v>119518</v>
      </c>
      <c r="H1162" s="1080">
        <f t="shared" si="265"/>
        <v>0.87449422335389371</v>
      </c>
      <c r="I1162" s="1037"/>
    </row>
    <row r="1163" spans="1:9" ht="19.5" customHeight="1">
      <c r="A1163" s="1394"/>
      <c r="B1163" s="1395"/>
      <c r="C1163" s="1473" t="s">
        <v>667</v>
      </c>
      <c r="D1163" s="1471" t="s">
        <v>613</v>
      </c>
      <c r="E1163" s="1079">
        <v>0</v>
      </c>
      <c r="F1163" s="1079">
        <v>964547</v>
      </c>
      <c r="G1163" s="1079">
        <v>964545</v>
      </c>
      <c r="H1163" s="1080">
        <f t="shared" si="265"/>
        <v>0.99999792648777097</v>
      </c>
      <c r="I1163" s="1037"/>
    </row>
    <row r="1164" spans="1:9" ht="17.100000000000001" customHeight="1">
      <c r="A1164" s="1394"/>
      <c r="B1164" s="1395"/>
      <c r="C1164" s="1473" t="s">
        <v>846</v>
      </c>
      <c r="D1164" s="1471" t="s">
        <v>604</v>
      </c>
      <c r="E1164" s="1079">
        <v>0</v>
      </c>
      <c r="F1164" s="1079">
        <v>1102</v>
      </c>
      <c r="G1164" s="1079">
        <v>819</v>
      </c>
      <c r="H1164" s="1080">
        <f t="shared" si="265"/>
        <v>0.74319419237749551</v>
      </c>
      <c r="I1164" s="1037"/>
    </row>
    <row r="1165" spans="1:9" ht="17.100000000000001" customHeight="1">
      <c r="A1165" s="1394"/>
      <c r="B1165" s="1395"/>
      <c r="C1165" s="1473" t="s">
        <v>756</v>
      </c>
      <c r="D1165" s="1471" t="s">
        <v>604</v>
      </c>
      <c r="E1165" s="1079">
        <v>0</v>
      </c>
      <c r="F1165" s="1079">
        <v>118</v>
      </c>
      <c r="G1165" s="1079">
        <v>101</v>
      </c>
      <c r="H1165" s="1080">
        <f t="shared" si="265"/>
        <v>0.85593220338983056</v>
      </c>
      <c r="I1165" s="1037"/>
    </row>
    <row r="1166" spans="1:9" ht="17.100000000000001" customHeight="1">
      <c r="A1166" s="1394"/>
      <c r="B1166" s="1395"/>
      <c r="C1166" s="1359" t="s">
        <v>668</v>
      </c>
      <c r="D1166" s="1360" t="s">
        <v>563</v>
      </c>
      <c r="E1166" s="1079">
        <v>325810</v>
      </c>
      <c r="F1166" s="1079">
        <v>363464</v>
      </c>
      <c r="G1166" s="1079">
        <v>136713</v>
      </c>
      <c r="H1166" s="1080">
        <f t="shared" si="265"/>
        <v>0.37613903990491493</v>
      </c>
      <c r="I1166" s="1037"/>
    </row>
    <row r="1167" spans="1:9" ht="17.100000000000001" customHeight="1">
      <c r="A1167" s="1394"/>
      <c r="B1167" s="1395"/>
      <c r="C1167" s="1359" t="s">
        <v>621</v>
      </c>
      <c r="D1167" s="1360" t="s">
        <v>563</v>
      </c>
      <c r="E1167" s="1079">
        <v>21714</v>
      </c>
      <c r="F1167" s="1079">
        <v>51397</v>
      </c>
      <c r="G1167" s="1079">
        <v>43287</v>
      </c>
      <c r="H1167" s="1080">
        <f t="shared" si="265"/>
        <v>0.84220868922310643</v>
      </c>
      <c r="I1167" s="1037"/>
    </row>
    <row r="1168" spans="1:9" ht="17.100000000000001" customHeight="1">
      <c r="A1168" s="1394"/>
      <c r="B1168" s="1395"/>
      <c r="C1168" s="1359" t="s">
        <v>669</v>
      </c>
      <c r="D1168" s="1360" t="s">
        <v>566</v>
      </c>
      <c r="E1168" s="1079">
        <v>53757</v>
      </c>
      <c r="F1168" s="1079">
        <v>60138</v>
      </c>
      <c r="G1168" s="1079">
        <v>27128</v>
      </c>
      <c r="H1168" s="1080">
        <f t="shared" si="265"/>
        <v>0.45109581296351725</v>
      </c>
      <c r="I1168" s="1037"/>
    </row>
    <row r="1169" spans="1:9" ht="17.100000000000001" customHeight="1">
      <c r="A1169" s="1394"/>
      <c r="B1169" s="1395"/>
      <c r="C1169" s="1359" t="s">
        <v>625</v>
      </c>
      <c r="D1169" s="1360" t="s">
        <v>566</v>
      </c>
      <c r="E1169" s="1079">
        <v>2536</v>
      </c>
      <c r="F1169" s="1079">
        <v>7631</v>
      </c>
      <c r="G1169" s="1079">
        <v>6976</v>
      </c>
      <c r="H1169" s="1080">
        <f t="shared" si="265"/>
        <v>0.9141659022408597</v>
      </c>
      <c r="I1169" s="1037"/>
    </row>
    <row r="1170" spans="1:9" ht="17.100000000000001" customHeight="1">
      <c r="A1170" s="1394"/>
      <c r="B1170" s="1395"/>
      <c r="C1170" s="1359" t="s">
        <v>670</v>
      </c>
      <c r="D1170" s="1360" t="s">
        <v>567</v>
      </c>
      <c r="E1170" s="1079">
        <v>7655</v>
      </c>
      <c r="F1170" s="1079">
        <v>8577</v>
      </c>
      <c r="G1170" s="1079">
        <v>3764</v>
      </c>
      <c r="H1170" s="1080">
        <f t="shared" si="265"/>
        <v>0.43884808207998133</v>
      </c>
      <c r="I1170" s="1037"/>
    </row>
    <row r="1171" spans="1:9" ht="17.100000000000001" customHeight="1">
      <c r="A1171" s="1394"/>
      <c r="B1171" s="1395"/>
      <c r="C1171" s="1359" t="s">
        <v>627</v>
      </c>
      <c r="D1171" s="1360" t="s">
        <v>567</v>
      </c>
      <c r="E1171" s="1079">
        <v>400</v>
      </c>
      <c r="F1171" s="1079">
        <v>1122</v>
      </c>
      <c r="G1171" s="1079">
        <v>1025</v>
      </c>
      <c r="H1171" s="1080">
        <f t="shared" si="265"/>
        <v>0.91354723707664887</v>
      </c>
      <c r="I1171" s="1037"/>
    </row>
    <row r="1172" spans="1:9" ht="17.100000000000001" customHeight="1">
      <c r="A1172" s="1394"/>
      <c r="B1172" s="1395"/>
      <c r="C1172" s="1359" t="s">
        <v>738</v>
      </c>
      <c r="D1172" s="1360" t="s">
        <v>569</v>
      </c>
      <c r="E1172" s="1079">
        <v>0</v>
      </c>
      <c r="F1172" s="1079">
        <v>35152</v>
      </c>
      <c r="G1172" s="1079">
        <v>23420</v>
      </c>
      <c r="H1172" s="1080">
        <f t="shared" si="265"/>
        <v>0.66624943104233048</v>
      </c>
      <c r="I1172" s="1037"/>
    </row>
    <row r="1173" spans="1:9" ht="17.100000000000001" customHeight="1">
      <c r="A1173" s="1394"/>
      <c r="B1173" s="1395"/>
      <c r="C1173" s="1359" t="s">
        <v>629</v>
      </c>
      <c r="D1173" s="1360" t="s">
        <v>569</v>
      </c>
      <c r="E1173" s="1079">
        <v>0</v>
      </c>
      <c r="F1173" s="1079">
        <v>3848</v>
      </c>
      <c r="G1173" s="1079">
        <v>2460</v>
      </c>
      <c r="H1173" s="1080">
        <f t="shared" si="265"/>
        <v>0.63929313929313925</v>
      </c>
      <c r="I1173" s="1037"/>
    </row>
    <row r="1174" spans="1:9" ht="17.100000000000001" customHeight="1">
      <c r="A1174" s="1394"/>
      <c r="B1174" s="1395"/>
      <c r="C1174" s="1359" t="s">
        <v>671</v>
      </c>
      <c r="D1174" s="1360" t="s">
        <v>573</v>
      </c>
      <c r="E1174" s="1079">
        <v>185384</v>
      </c>
      <c r="F1174" s="1079">
        <v>213372</v>
      </c>
      <c r="G1174" s="1079">
        <v>55573</v>
      </c>
      <c r="H1174" s="1080">
        <f t="shared" si="265"/>
        <v>0.26045123071443299</v>
      </c>
      <c r="I1174" s="1037"/>
    </row>
    <row r="1175" spans="1:9" ht="17.100000000000001" customHeight="1">
      <c r="A1175" s="1394"/>
      <c r="B1175" s="1395"/>
      <c r="C1175" s="1359" t="s">
        <v>634</v>
      </c>
      <c r="D1175" s="1360" t="s">
        <v>573</v>
      </c>
      <c r="E1175" s="1079">
        <v>1944</v>
      </c>
      <c r="F1175" s="1079">
        <v>3771</v>
      </c>
      <c r="G1175" s="1079">
        <v>2685</v>
      </c>
      <c r="H1175" s="1080">
        <f t="shared" si="265"/>
        <v>0.71201272871917265</v>
      </c>
      <c r="I1175" s="1037"/>
    </row>
    <row r="1176" spans="1:9" ht="17.100000000000001" customHeight="1">
      <c r="A1176" s="1394"/>
      <c r="B1176" s="1395"/>
      <c r="C1176" s="1359" t="s">
        <v>847</v>
      </c>
      <c r="D1176" s="1360" t="s">
        <v>575</v>
      </c>
      <c r="E1176" s="1079">
        <v>7927</v>
      </c>
      <c r="F1176" s="1079">
        <v>13584</v>
      </c>
      <c r="G1176" s="1079">
        <v>3897</v>
      </c>
      <c r="H1176" s="1080">
        <f t="shared" si="265"/>
        <v>0.2868816254416961</v>
      </c>
      <c r="I1176" s="1037"/>
    </row>
    <row r="1177" spans="1:9" ht="17.100000000000001" customHeight="1">
      <c r="A1177" s="1394"/>
      <c r="B1177" s="1395"/>
      <c r="C1177" s="1359" t="s">
        <v>785</v>
      </c>
      <c r="D1177" s="1360" t="s">
        <v>575</v>
      </c>
      <c r="E1177" s="1079">
        <v>157</v>
      </c>
      <c r="F1177" s="1079">
        <v>601</v>
      </c>
      <c r="G1177" s="1079">
        <v>318</v>
      </c>
      <c r="H1177" s="1080">
        <f t="shared" si="265"/>
        <v>0.52911813643926786</v>
      </c>
      <c r="I1177" s="1037"/>
    </row>
    <row r="1178" spans="1:9" ht="17.100000000000001" customHeight="1">
      <c r="A1178" s="1394"/>
      <c r="B1178" s="1395"/>
      <c r="C1178" s="1359" t="s">
        <v>842</v>
      </c>
      <c r="D1178" s="1360" t="s">
        <v>725</v>
      </c>
      <c r="E1178" s="1079">
        <v>0</v>
      </c>
      <c r="F1178" s="1079">
        <v>1460998</v>
      </c>
      <c r="G1178" s="1079">
        <v>1188898</v>
      </c>
      <c r="H1178" s="1080">
        <f t="shared" si="265"/>
        <v>0.81375744525317628</v>
      </c>
      <c r="I1178" s="1037"/>
    </row>
    <row r="1179" spans="1:9" ht="17.100000000000001" customHeight="1">
      <c r="A1179" s="1394"/>
      <c r="B1179" s="1395"/>
      <c r="C1179" s="1359" t="s">
        <v>843</v>
      </c>
      <c r="D1179" s="1360" t="s">
        <v>725</v>
      </c>
      <c r="E1179" s="1079">
        <v>0</v>
      </c>
      <c r="F1179" s="1079">
        <v>378384</v>
      </c>
      <c r="G1179" s="1079">
        <v>169797</v>
      </c>
      <c r="H1179" s="1080">
        <f t="shared" si="265"/>
        <v>0.44874254725358365</v>
      </c>
      <c r="I1179" s="1037"/>
    </row>
    <row r="1180" spans="1:9" ht="17.100000000000001" customHeight="1">
      <c r="A1180" s="1394"/>
      <c r="B1180" s="1395"/>
      <c r="C1180" s="1359" t="s">
        <v>848</v>
      </c>
      <c r="D1180" s="1360" t="s">
        <v>577</v>
      </c>
      <c r="E1180" s="1079">
        <v>87909</v>
      </c>
      <c r="F1180" s="1079">
        <v>87909</v>
      </c>
      <c r="G1180" s="1079">
        <v>48737</v>
      </c>
      <c r="H1180" s="1080">
        <f t="shared" si="265"/>
        <v>0.55440284840005005</v>
      </c>
      <c r="I1180" s="1037"/>
    </row>
    <row r="1181" spans="1:9" ht="17.100000000000001" customHeight="1">
      <c r="A1181" s="1394"/>
      <c r="B1181" s="1395"/>
      <c r="C1181" s="1359" t="s">
        <v>761</v>
      </c>
      <c r="D1181" s="1360" t="s">
        <v>577</v>
      </c>
      <c r="E1181" s="1079">
        <v>568</v>
      </c>
      <c r="F1181" s="1079">
        <v>568</v>
      </c>
      <c r="G1181" s="1079">
        <v>293</v>
      </c>
      <c r="H1181" s="1080">
        <f t="shared" si="265"/>
        <v>0.51584507042253525</v>
      </c>
      <c r="I1181" s="1037"/>
    </row>
    <row r="1182" spans="1:9" ht="17.100000000000001" customHeight="1">
      <c r="A1182" s="1394"/>
      <c r="B1182" s="1395"/>
      <c r="C1182" s="1359" t="s">
        <v>672</v>
      </c>
      <c r="D1182" s="1360" t="s">
        <v>581</v>
      </c>
      <c r="E1182" s="1079">
        <v>461305</v>
      </c>
      <c r="F1182" s="1079">
        <v>1653557</v>
      </c>
      <c r="G1182" s="1079">
        <v>1502396</v>
      </c>
      <c r="H1182" s="1080">
        <f t="shared" si="265"/>
        <v>0.90858434272299049</v>
      </c>
      <c r="I1182" s="1037"/>
    </row>
    <row r="1183" spans="1:9" ht="17.100000000000001" customHeight="1">
      <c r="A1183" s="1394"/>
      <c r="B1183" s="1395"/>
      <c r="C1183" s="1359" t="s">
        <v>638</v>
      </c>
      <c r="D1183" s="1360" t="s">
        <v>581</v>
      </c>
      <c r="E1183" s="1079">
        <v>26620</v>
      </c>
      <c r="F1183" s="1079">
        <v>178100</v>
      </c>
      <c r="G1183" s="1079">
        <v>166028</v>
      </c>
      <c r="H1183" s="1080">
        <f t="shared" si="265"/>
        <v>0.93221785513756317</v>
      </c>
      <c r="I1183" s="1037"/>
    </row>
    <row r="1184" spans="1:9" ht="28.5" customHeight="1">
      <c r="A1184" s="1394"/>
      <c r="B1184" s="1395"/>
      <c r="C1184" s="1359" t="s">
        <v>835</v>
      </c>
      <c r="D1184" s="1360" t="s">
        <v>849</v>
      </c>
      <c r="E1184" s="1474">
        <v>0</v>
      </c>
      <c r="F1184" s="1474">
        <v>381138</v>
      </c>
      <c r="G1184" s="1474">
        <v>381138</v>
      </c>
      <c r="H1184" s="1475">
        <f t="shared" si="265"/>
        <v>1</v>
      </c>
      <c r="I1184" s="1037"/>
    </row>
    <row r="1185" spans="1:9" ht="25.5">
      <c r="A1185" s="1394"/>
      <c r="B1185" s="1395"/>
      <c r="C1185" s="1359" t="s">
        <v>850</v>
      </c>
      <c r="D1185" s="1360" t="s">
        <v>849</v>
      </c>
      <c r="E1185" s="1079">
        <v>728670</v>
      </c>
      <c r="F1185" s="1079">
        <v>1144501</v>
      </c>
      <c r="G1185" s="1079">
        <v>1084958</v>
      </c>
      <c r="H1185" s="1080">
        <f t="shared" si="265"/>
        <v>0.94797470688099006</v>
      </c>
      <c r="I1185" s="1037"/>
    </row>
    <row r="1186" spans="1:9" ht="30.75" customHeight="1">
      <c r="A1186" s="1394"/>
      <c r="B1186" s="1395"/>
      <c r="C1186" s="1359" t="s">
        <v>851</v>
      </c>
      <c r="D1186" s="1360" t="s">
        <v>849</v>
      </c>
      <c r="E1186" s="1079">
        <v>267162</v>
      </c>
      <c r="F1186" s="1079">
        <v>202156</v>
      </c>
      <c r="G1186" s="1079">
        <v>190874</v>
      </c>
      <c r="H1186" s="1080">
        <f t="shared" si="265"/>
        <v>0.94419161439680244</v>
      </c>
      <c r="I1186" s="1037"/>
    </row>
    <row r="1187" spans="1:9" ht="17.100000000000001" customHeight="1">
      <c r="A1187" s="1394"/>
      <c r="B1187" s="1395"/>
      <c r="C1187" s="1359" t="s">
        <v>852</v>
      </c>
      <c r="D1187" s="1360" t="s">
        <v>853</v>
      </c>
      <c r="E1187" s="1079">
        <v>4276</v>
      </c>
      <c r="F1187" s="1079">
        <v>4989</v>
      </c>
      <c r="G1187" s="1079">
        <v>0</v>
      </c>
      <c r="H1187" s="1080">
        <f t="shared" si="265"/>
        <v>0</v>
      </c>
      <c r="I1187" s="1037"/>
    </row>
    <row r="1188" spans="1:9" ht="17.100000000000001" customHeight="1">
      <c r="A1188" s="1394"/>
      <c r="B1188" s="1395"/>
      <c r="C1188" s="1359" t="s">
        <v>786</v>
      </c>
      <c r="D1188" s="1360" t="s">
        <v>853</v>
      </c>
      <c r="E1188" s="1079">
        <v>524</v>
      </c>
      <c r="F1188" s="1079">
        <v>611</v>
      </c>
      <c r="G1188" s="1079">
        <v>0</v>
      </c>
      <c r="H1188" s="1080">
        <f t="shared" si="265"/>
        <v>0</v>
      </c>
      <c r="I1188" s="1037"/>
    </row>
    <row r="1189" spans="1:9" ht="17.100000000000001" customHeight="1">
      <c r="A1189" s="1394"/>
      <c r="B1189" s="1395"/>
      <c r="C1189" s="1367" t="s">
        <v>673</v>
      </c>
      <c r="D1189" s="1368" t="s">
        <v>588</v>
      </c>
      <c r="E1189" s="1185">
        <v>23949</v>
      </c>
      <c r="F1189" s="1185">
        <v>51381</v>
      </c>
      <c r="G1189" s="1185">
        <v>22074</v>
      </c>
      <c r="H1189" s="1186">
        <f t="shared" si="265"/>
        <v>0.42961405967186311</v>
      </c>
      <c r="I1189" s="1037"/>
    </row>
    <row r="1190" spans="1:9" ht="18" customHeight="1">
      <c r="A1190" s="1394"/>
      <c r="B1190" s="1395"/>
      <c r="C1190" s="1359" t="s">
        <v>642</v>
      </c>
      <c r="D1190" s="1360" t="s">
        <v>588</v>
      </c>
      <c r="E1190" s="1365">
        <v>1047</v>
      </c>
      <c r="F1190" s="1365">
        <v>4335</v>
      </c>
      <c r="G1190" s="1365">
        <v>2774</v>
      </c>
      <c r="H1190" s="1366">
        <f t="shared" si="265"/>
        <v>0.63990772779700111</v>
      </c>
      <c r="I1190" s="1037"/>
    </row>
    <row r="1191" spans="1:9" ht="18" customHeight="1">
      <c r="A1191" s="1394"/>
      <c r="B1191" s="1395"/>
      <c r="C1191" s="1465" t="s">
        <v>854</v>
      </c>
      <c r="D1191" s="1476" t="s">
        <v>590</v>
      </c>
      <c r="E1191" s="1477">
        <v>0</v>
      </c>
      <c r="F1191" s="1477">
        <v>8908</v>
      </c>
      <c r="G1191" s="1477">
        <v>2173</v>
      </c>
      <c r="H1191" s="1478">
        <f t="shared" si="265"/>
        <v>0.24393803322855859</v>
      </c>
      <c r="I1191" s="1037"/>
    </row>
    <row r="1192" spans="1:9" ht="18" customHeight="1">
      <c r="A1192" s="1394"/>
      <c r="B1192" s="1395"/>
      <c r="C1192" s="1479" t="s">
        <v>644</v>
      </c>
      <c r="D1192" s="1476" t="s">
        <v>590</v>
      </c>
      <c r="E1192" s="1477">
        <v>0</v>
      </c>
      <c r="F1192" s="1477">
        <v>1092</v>
      </c>
      <c r="G1192" s="1477">
        <v>266</v>
      </c>
      <c r="H1192" s="1478">
        <f t="shared" si="265"/>
        <v>0.24358974358974358</v>
      </c>
      <c r="I1192" s="1037"/>
    </row>
    <row r="1193" spans="1:9" ht="17.100000000000001" customHeight="1">
      <c r="A1193" s="1394"/>
      <c r="B1193" s="1395"/>
      <c r="C1193" s="1129"/>
      <c r="D1193" s="1129"/>
      <c r="E1193" s="1130"/>
      <c r="F1193" s="1130"/>
      <c r="G1193" s="1130"/>
      <c r="H1193" s="1131"/>
      <c r="I1193" s="1037"/>
    </row>
    <row r="1194" spans="1:9" ht="17.100000000000001" customHeight="1">
      <c r="A1194" s="1394"/>
      <c r="B1194" s="1395"/>
      <c r="C1194" s="2217" t="s">
        <v>605</v>
      </c>
      <c r="D1194" s="2217"/>
      <c r="E1194" s="1480">
        <f t="shared" ref="E1194:G1194" si="267">E1195</f>
        <v>43034</v>
      </c>
      <c r="F1194" s="1480">
        <f>F1195</f>
        <v>32394</v>
      </c>
      <c r="G1194" s="1480">
        <f t="shared" si="267"/>
        <v>26859</v>
      </c>
      <c r="H1194" s="1481">
        <f t="shared" si="265"/>
        <v>0.82913502500463043</v>
      </c>
      <c r="I1194" s="1037"/>
    </row>
    <row r="1195" spans="1:9" ht="17.100000000000001" customHeight="1">
      <c r="A1195" s="1394"/>
      <c r="B1195" s="1395"/>
      <c r="C1195" s="2171" t="s">
        <v>606</v>
      </c>
      <c r="D1195" s="2172"/>
      <c r="E1195" s="1103">
        <f>SUM(E1196:E1198)</f>
        <v>43034</v>
      </c>
      <c r="F1195" s="1103">
        <f>SUM(F1196:F1198)</f>
        <v>32394</v>
      </c>
      <c r="G1195" s="1103">
        <f>SUM(G1196:G1198)</f>
        <v>26859</v>
      </c>
      <c r="H1195" s="1104">
        <f t="shared" si="265"/>
        <v>0.82913502500463043</v>
      </c>
      <c r="I1195" s="1037"/>
    </row>
    <row r="1196" spans="1:9" ht="17.100000000000001" customHeight="1">
      <c r="A1196" s="1394"/>
      <c r="B1196" s="1395"/>
      <c r="C1196" s="1482" t="s">
        <v>144</v>
      </c>
      <c r="D1196" s="1250" t="s">
        <v>650</v>
      </c>
      <c r="E1196" s="1103">
        <v>0</v>
      </c>
      <c r="F1196" s="1103">
        <v>26859</v>
      </c>
      <c r="G1196" s="1103">
        <v>26859</v>
      </c>
      <c r="H1196" s="1104">
        <f t="shared" si="265"/>
        <v>1</v>
      </c>
      <c r="I1196" s="1037"/>
    </row>
    <row r="1197" spans="1:9" ht="17.100000000000001" customHeight="1">
      <c r="A1197" s="1394"/>
      <c r="B1197" s="1395"/>
      <c r="C1197" s="1249" t="s">
        <v>675</v>
      </c>
      <c r="D1197" s="1250" t="s">
        <v>650</v>
      </c>
      <c r="E1197" s="1079">
        <v>36579</v>
      </c>
      <c r="F1197" s="1079">
        <v>4862</v>
      </c>
      <c r="G1197" s="1079">
        <v>0</v>
      </c>
      <c r="H1197" s="1080">
        <f t="shared" si="265"/>
        <v>0</v>
      </c>
      <c r="I1197" s="1037"/>
    </row>
    <row r="1198" spans="1:9" ht="17.100000000000001" customHeight="1">
      <c r="A1198" s="1394"/>
      <c r="B1198" s="1395"/>
      <c r="C1198" s="1249" t="s">
        <v>693</v>
      </c>
      <c r="D1198" s="1250" t="s">
        <v>650</v>
      </c>
      <c r="E1198" s="1079">
        <v>6455</v>
      </c>
      <c r="F1198" s="1079">
        <v>673</v>
      </c>
      <c r="G1198" s="1079">
        <v>0</v>
      </c>
      <c r="H1198" s="1080">
        <f t="shared" si="265"/>
        <v>0</v>
      </c>
      <c r="I1198" s="1037"/>
    </row>
    <row r="1199" spans="1:9" ht="17.100000000000001" customHeight="1">
      <c r="A1199" s="1394"/>
      <c r="B1199" s="1395"/>
      <c r="C1199" s="1107"/>
      <c r="D1199" s="1108"/>
      <c r="E1199" s="1483"/>
      <c r="F1199" s="1483"/>
      <c r="G1199" s="1483"/>
      <c r="H1199" s="1080"/>
      <c r="I1199" s="1037"/>
    </row>
    <row r="1200" spans="1:9" ht="17.100000000000001" customHeight="1">
      <c r="A1200" s="1394"/>
      <c r="B1200" s="1395"/>
      <c r="C1200" s="2225" t="s">
        <v>614</v>
      </c>
      <c r="D1200" s="2237"/>
      <c r="E1200" s="1115">
        <f>SUM(E1201:E1203)</f>
        <v>43034</v>
      </c>
      <c r="F1200" s="1115">
        <f t="shared" ref="F1200:G1200" si="268">SUM(F1201:F1203)</f>
        <v>32394</v>
      </c>
      <c r="G1200" s="1115">
        <f t="shared" si="268"/>
        <v>26859</v>
      </c>
      <c r="H1200" s="1080">
        <f t="shared" si="265"/>
        <v>0.82913502500463043</v>
      </c>
      <c r="I1200" s="1037"/>
    </row>
    <row r="1201" spans="1:9" ht="17.100000000000001" customHeight="1">
      <c r="A1201" s="1394"/>
      <c r="B1201" s="1395"/>
      <c r="C1201" s="1465" t="s">
        <v>144</v>
      </c>
      <c r="D1201" s="1126" t="s">
        <v>650</v>
      </c>
      <c r="E1201" s="1484">
        <v>0</v>
      </c>
      <c r="F1201" s="1474">
        <v>26859</v>
      </c>
      <c r="G1201" s="1474">
        <v>26859</v>
      </c>
      <c r="H1201" s="1475">
        <f t="shared" si="265"/>
        <v>1</v>
      </c>
      <c r="I1201" s="1037"/>
    </row>
    <row r="1202" spans="1:9" ht="17.100000000000001" customHeight="1">
      <c r="A1202" s="1394"/>
      <c r="B1202" s="1395"/>
      <c r="C1202" s="1125" t="s">
        <v>675</v>
      </c>
      <c r="D1202" s="1126" t="s">
        <v>650</v>
      </c>
      <c r="E1202" s="1474">
        <v>36579</v>
      </c>
      <c r="F1202" s="1474">
        <v>4862</v>
      </c>
      <c r="G1202" s="1474">
        <v>0</v>
      </c>
      <c r="H1202" s="1475">
        <f t="shared" si="265"/>
        <v>0</v>
      </c>
      <c r="I1202" s="1037"/>
    </row>
    <row r="1203" spans="1:9" ht="17.100000000000001" customHeight="1" thickBot="1">
      <c r="A1203" s="1394"/>
      <c r="B1203" s="1395"/>
      <c r="C1203" s="1266" t="s">
        <v>693</v>
      </c>
      <c r="D1203" s="1108" t="s">
        <v>650</v>
      </c>
      <c r="E1203" s="1483">
        <v>6455</v>
      </c>
      <c r="F1203" s="1483">
        <v>673</v>
      </c>
      <c r="G1203" s="1483">
        <v>0</v>
      </c>
      <c r="H1203" s="1475">
        <f t="shared" si="265"/>
        <v>0</v>
      </c>
      <c r="I1203" s="1037"/>
    </row>
    <row r="1204" spans="1:9" ht="17.100000000000001" customHeight="1" thickBot="1">
      <c r="A1204" s="1394"/>
      <c r="B1204" s="1144" t="s">
        <v>855</v>
      </c>
      <c r="C1204" s="1145"/>
      <c r="D1204" s="1146" t="s">
        <v>464</v>
      </c>
      <c r="E1204" s="1147">
        <f>SUM(E1205+E1242)</f>
        <v>12798560</v>
      </c>
      <c r="F1204" s="1147">
        <f t="shared" ref="F1204:G1204" si="269">SUM(F1205+F1242)</f>
        <v>13244751</v>
      </c>
      <c r="G1204" s="1147">
        <f t="shared" si="269"/>
        <v>12818785</v>
      </c>
      <c r="H1204" s="1148">
        <f t="shared" si="265"/>
        <v>0.96783888198426682</v>
      </c>
      <c r="I1204" s="1037"/>
    </row>
    <row r="1205" spans="1:9" ht="17.100000000000001" customHeight="1">
      <c r="A1205" s="1394"/>
      <c r="B1205" s="1395"/>
      <c r="C1205" s="2112" t="s">
        <v>560</v>
      </c>
      <c r="D1205" s="2112"/>
      <c r="E1205" s="1063">
        <f>E1206+E1233+E1236</f>
        <v>10091216</v>
      </c>
      <c r="F1205" s="1063">
        <f t="shared" ref="F1205:G1205" si="270">F1206+F1233+F1236</f>
        <v>10577407</v>
      </c>
      <c r="G1205" s="1063">
        <f t="shared" si="270"/>
        <v>10372845</v>
      </c>
      <c r="H1205" s="1064">
        <f t="shared" si="265"/>
        <v>0.98066047756316832</v>
      </c>
      <c r="I1205" s="1037"/>
    </row>
    <row r="1206" spans="1:9" ht="17.100000000000001" customHeight="1">
      <c r="A1206" s="1394"/>
      <c r="B1206" s="1395"/>
      <c r="C1206" s="2224" t="s">
        <v>561</v>
      </c>
      <c r="D1206" s="2224"/>
      <c r="E1206" s="1079">
        <f>E1207+E1214</f>
        <v>9675455</v>
      </c>
      <c r="F1206" s="1079">
        <f t="shared" ref="F1206:G1206" si="271">F1207+F1214</f>
        <v>10144213</v>
      </c>
      <c r="G1206" s="1079">
        <f t="shared" si="271"/>
        <v>9985758</v>
      </c>
      <c r="H1206" s="1080">
        <f t="shared" si="265"/>
        <v>0.9843797641078712</v>
      </c>
      <c r="I1206" s="1037"/>
    </row>
    <row r="1207" spans="1:9" ht="17.100000000000001" customHeight="1">
      <c r="A1207" s="1394"/>
      <c r="B1207" s="1395"/>
      <c r="C1207" s="2236" t="s">
        <v>562</v>
      </c>
      <c r="D1207" s="2236"/>
      <c r="E1207" s="1115">
        <f t="shared" ref="E1207:G1207" si="272">SUM(E1208:E1212)</f>
        <v>7508704</v>
      </c>
      <c r="F1207" s="1115">
        <f>SUM(F1208:F1212)</f>
        <v>7712174</v>
      </c>
      <c r="G1207" s="1115">
        <f t="shared" si="272"/>
        <v>7632419</v>
      </c>
      <c r="H1207" s="1116">
        <f t="shared" si="265"/>
        <v>0.98965855801489955</v>
      </c>
      <c r="I1207" s="1037"/>
    </row>
    <row r="1208" spans="1:9" ht="17.100000000000001" customHeight="1">
      <c r="A1208" s="1394"/>
      <c r="B1208" s="1395"/>
      <c r="C1208" s="1359" t="s">
        <v>145</v>
      </c>
      <c r="D1208" s="1360" t="s">
        <v>563</v>
      </c>
      <c r="E1208" s="1079">
        <v>5858260</v>
      </c>
      <c r="F1208" s="1079">
        <v>6028979</v>
      </c>
      <c r="G1208" s="1079">
        <v>5987109</v>
      </c>
      <c r="H1208" s="1080">
        <f t="shared" si="265"/>
        <v>0.99305520885045373</v>
      </c>
      <c r="I1208" s="1037"/>
    </row>
    <row r="1209" spans="1:9" ht="17.100000000000001" customHeight="1">
      <c r="A1209" s="1394"/>
      <c r="B1209" s="1395"/>
      <c r="C1209" s="1359" t="s">
        <v>564</v>
      </c>
      <c r="D1209" s="1360" t="s">
        <v>565</v>
      </c>
      <c r="E1209" s="1079">
        <v>464942</v>
      </c>
      <c r="F1209" s="1079">
        <v>457500</v>
      </c>
      <c r="G1209" s="1079">
        <v>457499</v>
      </c>
      <c r="H1209" s="1080">
        <f t="shared" si="265"/>
        <v>0.99999781420765033</v>
      </c>
      <c r="I1209" s="1037"/>
    </row>
    <row r="1210" spans="1:9" ht="17.100000000000001" customHeight="1">
      <c r="A1210" s="1394"/>
      <c r="B1210" s="1395"/>
      <c r="C1210" s="1367" t="s">
        <v>146</v>
      </c>
      <c r="D1210" s="1368" t="s">
        <v>566</v>
      </c>
      <c r="E1210" s="1079">
        <v>1065852</v>
      </c>
      <c r="F1210" s="1079">
        <v>1084459</v>
      </c>
      <c r="G1210" s="1079">
        <v>1054630</v>
      </c>
      <c r="H1210" s="1080">
        <f t="shared" si="265"/>
        <v>0.97249411918753959</v>
      </c>
      <c r="I1210" s="1037"/>
    </row>
    <row r="1211" spans="1:9" ht="17.100000000000001" customHeight="1">
      <c r="A1211" s="1394"/>
      <c r="B1211" s="1395"/>
      <c r="C1211" s="1469" t="s">
        <v>147</v>
      </c>
      <c r="D1211" s="1250" t="s">
        <v>567</v>
      </c>
      <c r="E1211" s="1079">
        <v>102670</v>
      </c>
      <c r="F1211" s="1079">
        <v>107409</v>
      </c>
      <c r="G1211" s="1079">
        <v>101966</v>
      </c>
      <c r="H1211" s="1080">
        <f t="shared" si="265"/>
        <v>0.9493245444981333</v>
      </c>
      <c r="I1211" s="1037"/>
    </row>
    <row r="1212" spans="1:9" ht="17.100000000000001" customHeight="1">
      <c r="A1212" s="1394"/>
      <c r="B1212" s="1395"/>
      <c r="C1212" s="1107" t="s">
        <v>568</v>
      </c>
      <c r="D1212" s="1108" t="s">
        <v>569</v>
      </c>
      <c r="E1212" s="1483">
        <v>16980</v>
      </c>
      <c r="F1212" s="1483">
        <v>33827</v>
      </c>
      <c r="G1212" s="1483">
        <v>31215</v>
      </c>
      <c r="H1212" s="1485">
        <f t="shared" si="265"/>
        <v>0.92278357525053956</v>
      </c>
      <c r="I1212" s="1037"/>
    </row>
    <row r="1213" spans="1:9" ht="17.100000000000001" customHeight="1">
      <c r="A1213" s="1394"/>
      <c r="B1213" s="1395"/>
      <c r="C1213" s="1486"/>
      <c r="D1213" s="1486"/>
      <c r="E1213" s="1487"/>
      <c r="F1213" s="1487"/>
      <c r="G1213" s="1487"/>
      <c r="H1213" s="1488"/>
      <c r="I1213" s="1037"/>
    </row>
    <row r="1214" spans="1:9" ht="17.100000000000001" customHeight="1">
      <c r="A1214" s="1394"/>
      <c r="B1214" s="1395"/>
      <c r="C1214" s="2225" t="s">
        <v>570</v>
      </c>
      <c r="D1214" s="2225"/>
      <c r="E1214" s="1489">
        <f t="shared" ref="E1214:G1214" si="273">SUM(E1215:E1231)</f>
        <v>2166751</v>
      </c>
      <c r="F1214" s="1489">
        <f>SUM(F1215:F1231)</f>
        <v>2432039</v>
      </c>
      <c r="G1214" s="1489">
        <f t="shared" si="273"/>
        <v>2353339</v>
      </c>
      <c r="H1214" s="1490">
        <f t="shared" si="265"/>
        <v>0.96764032155734347</v>
      </c>
      <c r="I1214" s="1037"/>
    </row>
    <row r="1215" spans="1:9" ht="17.100000000000001" customHeight="1">
      <c r="A1215" s="1394"/>
      <c r="B1215" s="1395"/>
      <c r="C1215" s="1125" t="s">
        <v>571</v>
      </c>
      <c r="D1215" s="1126" t="s">
        <v>572</v>
      </c>
      <c r="E1215" s="1103">
        <v>40642</v>
      </c>
      <c r="F1215" s="1103">
        <v>40801</v>
      </c>
      <c r="G1215" s="1103">
        <v>40685</v>
      </c>
      <c r="H1215" s="1104">
        <f t="shared" si="265"/>
        <v>0.99715693242812675</v>
      </c>
      <c r="I1215" s="1037"/>
    </row>
    <row r="1216" spans="1:9" ht="17.100000000000001" customHeight="1">
      <c r="A1216" s="1394"/>
      <c r="B1216" s="1395"/>
      <c r="C1216" s="1359" t="s">
        <v>143</v>
      </c>
      <c r="D1216" s="1360" t="s">
        <v>573</v>
      </c>
      <c r="E1216" s="1103">
        <v>240325</v>
      </c>
      <c r="F1216" s="1103">
        <v>317326</v>
      </c>
      <c r="G1216" s="1103">
        <v>293210</v>
      </c>
      <c r="H1216" s="1104">
        <f t="shared" si="265"/>
        <v>0.92400244543466337</v>
      </c>
      <c r="I1216" s="1037"/>
    </row>
    <row r="1217" spans="1:9" ht="17.100000000000001" customHeight="1">
      <c r="A1217" s="1394"/>
      <c r="B1217" s="1395"/>
      <c r="C1217" s="1359" t="s">
        <v>574</v>
      </c>
      <c r="D1217" s="1360" t="s">
        <v>575</v>
      </c>
      <c r="E1217" s="1103">
        <v>500</v>
      </c>
      <c r="F1217" s="1103">
        <v>500</v>
      </c>
      <c r="G1217" s="1103">
        <v>49</v>
      </c>
      <c r="H1217" s="1104">
        <f t="shared" ref="H1217:H1234" si="274">G1217/F1217</f>
        <v>9.8000000000000004E-2</v>
      </c>
      <c r="I1217" s="1037"/>
    </row>
    <row r="1218" spans="1:9" ht="17.100000000000001" customHeight="1">
      <c r="A1218" s="1394"/>
      <c r="B1218" s="1395"/>
      <c r="C1218" s="1359" t="s">
        <v>724</v>
      </c>
      <c r="D1218" s="1360" t="s">
        <v>725</v>
      </c>
      <c r="E1218" s="1103">
        <v>126838</v>
      </c>
      <c r="F1218" s="1103">
        <v>226988</v>
      </c>
      <c r="G1218" s="1103">
        <v>226943</v>
      </c>
      <c r="H1218" s="1104">
        <f t="shared" si="274"/>
        <v>0.99980175163444762</v>
      </c>
      <c r="I1218" s="1037"/>
    </row>
    <row r="1219" spans="1:9" ht="17.100000000000001" customHeight="1">
      <c r="A1219" s="1394"/>
      <c r="B1219" s="1395"/>
      <c r="C1219" s="1359" t="s">
        <v>576</v>
      </c>
      <c r="D1219" s="1360" t="s">
        <v>577</v>
      </c>
      <c r="E1219" s="1103">
        <v>517173</v>
      </c>
      <c r="F1219" s="1103">
        <v>493190</v>
      </c>
      <c r="G1219" s="1103">
        <v>473929</v>
      </c>
      <c r="H1219" s="1104">
        <f t="shared" si="274"/>
        <v>0.96094608568705775</v>
      </c>
      <c r="I1219" s="1037"/>
    </row>
    <row r="1220" spans="1:9" ht="17.100000000000001" customHeight="1">
      <c r="A1220" s="1394"/>
      <c r="B1220" s="1395"/>
      <c r="C1220" s="1359" t="s">
        <v>24</v>
      </c>
      <c r="D1220" s="1360" t="s">
        <v>578</v>
      </c>
      <c r="E1220" s="1103">
        <v>23000</v>
      </c>
      <c r="F1220" s="1103">
        <v>89213</v>
      </c>
      <c r="G1220" s="1103">
        <v>88393</v>
      </c>
      <c r="H1220" s="1104">
        <f t="shared" si="274"/>
        <v>0.99080851445417151</v>
      </c>
      <c r="I1220" s="1037"/>
    </row>
    <row r="1221" spans="1:9" ht="17.100000000000001" customHeight="1">
      <c r="A1221" s="1394"/>
      <c r="B1221" s="1395"/>
      <c r="C1221" s="1359" t="s">
        <v>579</v>
      </c>
      <c r="D1221" s="1360" t="s">
        <v>580</v>
      </c>
      <c r="E1221" s="1103">
        <v>8342</v>
      </c>
      <c r="F1221" s="1103">
        <v>9072</v>
      </c>
      <c r="G1221" s="1103">
        <v>7041</v>
      </c>
      <c r="H1221" s="1104">
        <f t="shared" si="274"/>
        <v>0.77612433862433861</v>
      </c>
      <c r="I1221" s="1037"/>
    </row>
    <row r="1222" spans="1:9" ht="18" customHeight="1">
      <c r="A1222" s="1394"/>
      <c r="B1222" s="1395"/>
      <c r="C1222" s="1359" t="s">
        <v>25</v>
      </c>
      <c r="D1222" s="1360" t="s">
        <v>581</v>
      </c>
      <c r="E1222" s="1103">
        <v>336646</v>
      </c>
      <c r="F1222" s="1103">
        <v>344152</v>
      </c>
      <c r="G1222" s="1103">
        <v>340523</v>
      </c>
      <c r="H1222" s="1104">
        <f t="shared" si="274"/>
        <v>0.98945524070759427</v>
      </c>
      <c r="I1222" s="1037"/>
    </row>
    <row r="1223" spans="1:9" ht="30.75" customHeight="1">
      <c r="A1223" s="1394"/>
      <c r="B1223" s="1395"/>
      <c r="C1223" s="1359" t="s">
        <v>835</v>
      </c>
      <c r="D1223" s="1360" t="s">
        <v>836</v>
      </c>
      <c r="E1223" s="1103">
        <v>40000</v>
      </c>
      <c r="F1223" s="1103">
        <v>88997</v>
      </c>
      <c r="G1223" s="1103">
        <v>88879</v>
      </c>
      <c r="H1223" s="1104">
        <f t="shared" si="274"/>
        <v>0.9986741126105374</v>
      </c>
      <c r="I1223" s="1037"/>
    </row>
    <row r="1224" spans="1:9" ht="16.5" customHeight="1">
      <c r="A1224" s="1394"/>
      <c r="B1224" s="1395"/>
      <c r="C1224" s="1359" t="s">
        <v>582</v>
      </c>
      <c r="D1224" s="1360" t="s">
        <v>583</v>
      </c>
      <c r="E1224" s="1103">
        <v>108010</v>
      </c>
      <c r="F1224" s="1103">
        <v>98746</v>
      </c>
      <c r="G1224" s="1103">
        <v>85272</v>
      </c>
      <c r="H1224" s="1104">
        <f t="shared" si="274"/>
        <v>0.86354890324671374</v>
      </c>
      <c r="I1224" s="1037"/>
    </row>
    <row r="1225" spans="1:9" ht="20.25" customHeight="1">
      <c r="A1225" s="1394"/>
      <c r="B1225" s="1395"/>
      <c r="C1225" s="1359" t="s">
        <v>585</v>
      </c>
      <c r="D1225" s="1360" t="s">
        <v>586</v>
      </c>
      <c r="E1225" s="1103">
        <v>353320</v>
      </c>
      <c r="F1225" s="1103">
        <v>342388</v>
      </c>
      <c r="G1225" s="1103">
        <v>339777</v>
      </c>
      <c r="H1225" s="1104">
        <f t="shared" si="274"/>
        <v>0.99237414862670426</v>
      </c>
      <c r="I1225" s="1037"/>
    </row>
    <row r="1226" spans="1:9" ht="17.100000000000001" customHeight="1">
      <c r="A1226" s="1394"/>
      <c r="B1226" s="1395"/>
      <c r="C1226" s="1367" t="s">
        <v>587</v>
      </c>
      <c r="D1226" s="1368" t="s">
        <v>588</v>
      </c>
      <c r="E1226" s="1103">
        <v>15295</v>
      </c>
      <c r="F1226" s="1103">
        <v>21895</v>
      </c>
      <c r="G1226" s="1103">
        <v>17051</v>
      </c>
      <c r="H1226" s="1104">
        <f t="shared" si="274"/>
        <v>0.77876227449189317</v>
      </c>
      <c r="I1226" s="1037"/>
    </row>
    <row r="1227" spans="1:9" ht="17.100000000000001" customHeight="1">
      <c r="A1227" s="1394"/>
      <c r="B1227" s="1395"/>
      <c r="C1227" s="1249" t="s">
        <v>589</v>
      </c>
      <c r="D1227" s="1250" t="s">
        <v>590</v>
      </c>
      <c r="E1227" s="1103">
        <v>25148</v>
      </c>
      <c r="F1227" s="1103">
        <v>31685</v>
      </c>
      <c r="G1227" s="1103">
        <v>29905</v>
      </c>
      <c r="H1227" s="1104">
        <f t="shared" si="274"/>
        <v>0.94382199779075271</v>
      </c>
      <c r="I1227" s="1037"/>
    </row>
    <row r="1228" spans="1:9" ht="17.100000000000001" customHeight="1">
      <c r="A1228" s="1394"/>
      <c r="B1228" s="1395"/>
      <c r="C1228" s="1125" t="s">
        <v>591</v>
      </c>
      <c r="D1228" s="1126" t="s">
        <v>592</v>
      </c>
      <c r="E1228" s="1103">
        <v>314500</v>
      </c>
      <c r="F1228" s="1103">
        <v>309021</v>
      </c>
      <c r="G1228" s="1103">
        <v>309019</v>
      </c>
      <c r="H1228" s="1104">
        <f t="shared" si="274"/>
        <v>0.99999352794793883</v>
      </c>
      <c r="I1228" s="1037"/>
    </row>
    <row r="1229" spans="1:9" ht="17.100000000000001" customHeight="1">
      <c r="A1229" s="1394"/>
      <c r="B1229" s="1395"/>
      <c r="C1229" s="1359" t="s">
        <v>597</v>
      </c>
      <c r="D1229" s="1360" t="s">
        <v>598</v>
      </c>
      <c r="E1229" s="1079">
        <v>812</v>
      </c>
      <c r="F1229" s="1079">
        <v>812</v>
      </c>
      <c r="G1229" s="1079">
        <v>449</v>
      </c>
      <c r="H1229" s="1080">
        <f t="shared" si="274"/>
        <v>0.55295566502463056</v>
      </c>
      <c r="I1229" s="1037"/>
    </row>
    <row r="1230" spans="1:9" ht="17.100000000000001" customHeight="1">
      <c r="A1230" s="1394"/>
      <c r="B1230" s="1395"/>
      <c r="C1230" s="1359" t="s">
        <v>599</v>
      </c>
      <c r="D1230" s="1360" t="s">
        <v>600</v>
      </c>
      <c r="E1230" s="1079">
        <v>1000</v>
      </c>
      <c r="F1230" s="1079">
        <v>0</v>
      </c>
      <c r="G1230" s="1079">
        <v>0</v>
      </c>
      <c r="H1230" s="1080"/>
      <c r="I1230" s="1037"/>
    </row>
    <row r="1231" spans="1:9" ht="17.100000000000001" customHeight="1">
      <c r="A1231" s="1394"/>
      <c r="B1231" s="1395"/>
      <c r="C1231" s="1359" t="s">
        <v>148</v>
      </c>
      <c r="D1231" s="1360" t="s">
        <v>601</v>
      </c>
      <c r="E1231" s="1079">
        <v>15200</v>
      </c>
      <c r="F1231" s="1079">
        <v>17253</v>
      </c>
      <c r="G1231" s="1079">
        <v>12214</v>
      </c>
      <c r="H1231" s="1080">
        <f t="shared" si="274"/>
        <v>0.70793485190981276</v>
      </c>
      <c r="I1231" s="1037"/>
    </row>
    <row r="1232" spans="1:9" ht="17.100000000000001" customHeight="1">
      <c r="A1232" s="1394"/>
      <c r="B1232" s="1395"/>
      <c r="C1232" s="1098"/>
      <c r="D1232" s="1098"/>
      <c r="E1232" s="1440"/>
      <c r="F1232" s="1440"/>
      <c r="G1232" s="1440"/>
      <c r="H1232" s="1441"/>
      <c r="I1232" s="1037"/>
    </row>
    <row r="1233" spans="1:9" ht="17.100000000000001" customHeight="1">
      <c r="A1233" s="1394"/>
      <c r="B1233" s="1395"/>
      <c r="C1233" s="2233" t="s">
        <v>779</v>
      </c>
      <c r="D1233" s="2233"/>
      <c r="E1233" s="1369">
        <f t="shared" ref="E1233:G1233" si="275">E1234</f>
        <v>11003</v>
      </c>
      <c r="F1233" s="1369">
        <f t="shared" si="275"/>
        <v>28436</v>
      </c>
      <c r="G1233" s="1369">
        <f t="shared" si="275"/>
        <v>28228</v>
      </c>
      <c r="H1233" s="1370">
        <f t="shared" si="274"/>
        <v>0.99268532845688562</v>
      </c>
      <c r="I1233" s="1037"/>
    </row>
    <row r="1234" spans="1:9" ht="17.100000000000001" customHeight="1">
      <c r="A1234" s="1394"/>
      <c r="B1234" s="1395"/>
      <c r="C1234" s="1201" t="s">
        <v>603</v>
      </c>
      <c r="D1234" s="1312" t="s">
        <v>604</v>
      </c>
      <c r="E1234" s="1079">
        <v>11003</v>
      </c>
      <c r="F1234" s="1079">
        <v>28436</v>
      </c>
      <c r="G1234" s="1079">
        <v>28228</v>
      </c>
      <c r="H1234" s="1080">
        <f t="shared" si="274"/>
        <v>0.99268532845688562</v>
      </c>
      <c r="I1234" s="1037"/>
    </row>
    <row r="1235" spans="1:9" ht="17.100000000000001" customHeight="1">
      <c r="A1235" s="1394"/>
      <c r="B1235" s="1395"/>
      <c r="C1235" s="1491"/>
      <c r="D1235" s="1492"/>
      <c r="E1235" s="1130"/>
      <c r="F1235" s="1130"/>
      <c r="G1235" s="1130"/>
      <c r="H1235" s="1131"/>
      <c r="I1235" s="1037"/>
    </row>
    <row r="1236" spans="1:9" ht="17.100000000000001" customHeight="1">
      <c r="A1236" s="1394"/>
      <c r="B1236" s="1395"/>
      <c r="C1236" s="2232" t="s">
        <v>616</v>
      </c>
      <c r="D1236" s="2232"/>
      <c r="E1236" s="1369">
        <f>SUM(E1237:E1240)</f>
        <v>404758</v>
      </c>
      <c r="F1236" s="1369">
        <f t="shared" ref="F1236:G1236" si="276">SUM(F1237:F1240)</f>
        <v>404758</v>
      </c>
      <c r="G1236" s="1369">
        <f t="shared" si="276"/>
        <v>358859</v>
      </c>
      <c r="H1236" s="1370">
        <f t="shared" ref="H1236:H1315" si="277">G1236/F1236</f>
        <v>0.88660137662504512</v>
      </c>
      <c r="I1236" s="1037"/>
    </row>
    <row r="1237" spans="1:9" ht="17.100000000000001" customHeight="1">
      <c r="A1237" s="1394"/>
      <c r="B1237" s="1395"/>
      <c r="C1237" s="1359" t="s">
        <v>145</v>
      </c>
      <c r="D1237" s="1360" t="s">
        <v>563</v>
      </c>
      <c r="E1237" s="1458">
        <v>22500</v>
      </c>
      <c r="F1237" s="1493">
        <v>22500</v>
      </c>
      <c r="G1237" s="1493">
        <v>21792</v>
      </c>
      <c r="H1237" s="1370">
        <f t="shared" si="277"/>
        <v>0.96853333333333336</v>
      </c>
      <c r="I1237" s="1037"/>
    </row>
    <row r="1238" spans="1:9" ht="17.100000000000001" customHeight="1">
      <c r="A1238" s="1394"/>
      <c r="B1238" s="1395"/>
      <c r="C1238" s="1359" t="s">
        <v>25</v>
      </c>
      <c r="D1238" s="1360" t="s">
        <v>581</v>
      </c>
      <c r="E1238" s="1458">
        <v>8602</v>
      </c>
      <c r="F1238" s="1493">
        <v>8602</v>
      </c>
      <c r="G1238" s="1493">
        <v>8587</v>
      </c>
      <c r="H1238" s="1370">
        <f t="shared" si="277"/>
        <v>0.99825621948384091</v>
      </c>
      <c r="I1238" s="1037"/>
    </row>
    <row r="1239" spans="1:9" ht="17.100000000000001" customHeight="1">
      <c r="A1239" s="1394"/>
      <c r="B1239" s="1395"/>
      <c r="C1239" s="1359" t="s">
        <v>672</v>
      </c>
      <c r="D1239" s="1360" t="s">
        <v>581</v>
      </c>
      <c r="E1239" s="1458">
        <v>317607</v>
      </c>
      <c r="F1239" s="1458">
        <v>317607</v>
      </c>
      <c r="G1239" s="1458">
        <v>279208</v>
      </c>
      <c r="H1239" s="1459">
        <f t="shared" si="277"/>
        <v>0.87909901230136611</v>
      </c>
      <c r="I1239" s="1037"/>
    </row>
    <row r="1240" spans="1:9" ht="17.100000000000001" customHeight="1">
      <c r="A1240" s="1394"/>
      <c r="B1240" s="1395"/>
      <c r="C1240" s="1367" t="s">
        <v>638</v>
      </c>
      <c r="D1240" s="1368" t="s">
        <v>581</v>
      </c>
      <c r="E1240" s="1494">
        <v>56049</v>
      </c>
      <c r="F1240" s="1494">
        <v>56049</v>
      </c>
      <c r="G1240" s="1494">
        <v>49272</v>
      </c>
      <c r="H1240" s="1495">
        <f t="shared" si="277"/>
        <v>0.87908794090884756</v>
      </c>
      <c r="I1240" s="1037"/>
    </row>
    <row r="1241" spans="1:9" ht="17.100000000000001" customHeight="1">
      <c r="A1241" s="1394"/>
      <c r="B1241" s="1395"/>
      <c r="C1241" s="1496"/>
      <c r="D1241" s="1497"/>
      <c r="E1241" s="1498"/>
      <c r="F1241" s="1498"/>
      <c r="G1241" s="1498"/>
      <c r="H1241" s="1499"/>
      <c r="I1241" s="1037"/>
    </row>
    <row r="1242" spans="1:9" ht="17.100000000000001" customHeight="1">
      <c r="A1242" s="1394"/>
      <c r="B1242" s="1395"/>
      <c r="C1242" s="2217" t="s">
        <v>605</v>
      </c>
      <c r="D1242" s="2217"/>
      <c r="E1242" s="1480">
        <f>E1243</f>
        <v>2707344</v>
      </c>
      <c r="F1242" s="1480">
        <f t="shared" ref="F1242:G1242" si="278">F1243</f>
        <v>2667344</v>
      </c>
      <c r="G1242" s="1480">
        <f t="shared" si="278"/>
        <v>2445940</v>
      </c>
      <c r="H1242" s="1481">
        <f t="shared" si="277"/>
        <v>0.91699458337582251</v>
      </c>
      <c r="I1242" s="1037"/>
    </row>
    <row r="1243" spans="1:9" ht="17.100000000000001" customHeight="1">
      <c r="A1243" s="1394"/>
      <c r="B1243" s="1395"/>
      <c r="C1243" s="2171" t="s">
        <v>606</v>
      </c>
      <c r="D1243" s="2172"/>
      <c r="E1243" s="1103">
        <f>SUM(E1244:E1248)</f>
        <v>2707344</v>
      </c>
      <c r="F1243" s="1103">
        <f>SUM(F1244:F1248)</f>
        <v>2667344</v>
      </c>
      <c r="G1243" s="1103">
        <f t="shared" ref="G1243" si="279">SUM(G1244:G1248)</f>
        <v>2445940</v>
      </c>
      <c r="H1243" s="1104">
        <f t="shared" si="277"/>
        <v>0.91699458337582251</v>
      </c>
      <c r="I1243" s="1037"/>
    </row>
    <row r="1244" spans="1:9" ht="17.100000000000001" customHeight="1">
      <c r="A1244" s="1394"/>
      <c r="B1244" s="1395"/>
      <c r="C1244" s="1482" t="s">
        <v>695</v>
      </c>
      <c r="D1244" s="1500" t="s">
        <v>607</v>
      </c>
      <c r="E1244" s="1103">
        <v>0</v>
      </c>
      <c r="F1244" s="1103">
        <v>182321</v>
      </c>
      <c r="G1244" s="1103">
        <v>182321</v>
      </c>
      <c r="H1244" s="1104">
        <f t="shared" si="277"/>
        <v>1</v>
      </c>
      <c r="I1244" s="1037"/>
    </row>
    <row r="1245" spans="1:9" ht="17.100000000000001" customHeight="1">
      <c r="A1245" s="1394"/>
      <c r="B1245" s="1395"/>
      <c r="C1245" s="1134" t="s">
        <v>98</v>
      </c>
      <c r="D1245" s="1501" t="s">
        <v>607</v>
      </c>
      <c r="E1245" s="1079">
        <v>0</v>
      </c>
      <c r="F1245" s="1079">
        <v>32577</v>
      </c>
      <c r="G1245" s="1079">
        <v>32174</v>
      </c>
      <c r="H1245" s="1104">
        <f t="shared" si="277"/>
        <v>0.98762930902170243</v>
      </c>
      <c r="I1245" s="1037"/>
    </row>
    <row r="1246" spans="1:9" ht="17.100000000000001" customHeight="1">
      <c r="A1246" s="1394"/>
      <c r="B1246" s="1395"/>
      <c r="C1246" s="1107" t="s">
        <v>144</v>
      </c>
      <c r="D1246" s="1108" t="s">
        <v>650</v>
      </c>
      <c r="E1246" s="1483">
        <v>73039</v>
      </c>
      <c r="F1246" s="1483">
        <v>33039</v>
      </c>
      <c r="G1246" s="1483">
        <v>28332</v>
      </c>
      <c r="H1246" s="1485">
        <f t="shared" si="277"/>
        <v>0.85753200762734949</v>
      </c>
      <c r="I1246" s="1037"/>
    </row>
    <row r="1247" spans="1:9" ht="17.100000000000001" customHeight="1">
      <c r="A1247" s="1394"/>
      <c r="B1247" s="1395"/>
      <c r="C1247" s="1249" t="s">
        <v>675</v>
      </c>
      <c r="D1247" s="1250" t="s">
        <v>650</v>
      </c>
      <c r="E1247" s="1079">
        <v>2239159</v>
      </c>
      <c r="F1247" s="1079">
        <v>2056838</v>
      </c>
      <c r="G1247" s="1079">
        <v>1872646</v>
      </c>
      <c r="H1247" s="1080">
        <f t="shared" si="277"/>
        <v>0.91044895125430392</v>
      </c>
      <c r="I1247" s="1037"/>
    </row>
    <row r="1248" spans="1:9" ht="17.100000000000001" customHeight="1">
      <c r="A1248" s="1394"/>
      <c r="B1248" s="1395"/>
      <c r="C1248" s="1249" t="s">
        <v>693</v>
      </c>
      <c r="D1248" s="1250" t="s">
        <v>650</v>
      </c>
      <c r="E1248" s="1079">
        <v>395146</v>
      </c>
      <c r="F1248" s="1079">
        <v>362569</v>
      </c>
      <c r="G1248" s="1079">
        <v>330467</v>
      </c>
      <c r="H1248" s="1080">
        <f t="shared" si="277"/>
        <v>0.91145961182561108</v>
      </c>
      <c r="I1248" s="1037"/>
    </row>
    <row r="1249" spans="1:9" ht="17.100000000000001" customHeight="1">
      <c r="A1249" s="1394"/>
      <c r="B1249" s="1395"/>
      <c r="C1249" s="1107"/>
      <c r="D1249" s="1108"/>
      <c r="E1249" s="1483"/>
      <c r="F1249" s="1483"/>
      <c r="G1249" s="1483"/>
      <c r="H1249" s="1080"/>
      <c r="I1249" s="1037"/>
    </row>
    <row r="1250" spans="1:9" ht="17.100000000000001" customHeight="1">
      <c r="A1250" s="1394"/>
      <c r="B1250" s="1395"/>
      <c r="C1250" s="2225" t="s">
        <v>614</v>
      </c>
      <c r="D1250" s="2237"/>
      <c r="E1250" s="1115">
        <f>SUM(E1251:E1254)</f>
        <v>2634305</v>
      </c>
      <c r="F1250" s="1115">
        <f t="shared" ref="F1250:G1250" si="280">SUM(F1251:F1254)</f>
        <v>2634305</v>
      </c>
      <c r="G1250" s="1115">
        <f t="shared" si="280"/>
        <v>2417608</v>
      </c>
      <c r="H1250" s="1080">
        <f t="shared" si="277"/>
        <v>0.91774035276856702</v>
      </c>
      <c r="I1250" s="1037"/>
    </row>
    <row r="1251" spans="1:9" ht="17.100000000000001" customHeight="1">
      <c r="A1251" s="1394"/>
      <c r="B1251" s="1395"/>
      <c r="C1251" s="1465" t="s">
        <v>695</v>
      </c>
      <c r="D1251" s="1501" t="s">
        <v>607</v>
      </c>
      <c r="E1251" s="1079">
        <v>0</v>
      </c>
      <c r="F1251" s="1079">
        <v>182321</v>
      </c>
      <c r="G1251" s="1239">
        <v>182321</v>
      </c>
      <c r="H1251" s="1080">
        <f t="shared" si="277"/>
        <v>1</v>
      </c>
      <c r="I1251" s="1037"/>
    </row>
    <row r="1252" spans="1:9" ht="17.100000000000001" customHeight="1">
      <c r="A1252" s="1394"/>
      <c r="B1252" s="1395"/>
      <c r="C1252" s="1479" t="s">
        <v>98</v>
      </c>
      <c r="D1252" s="1501" t="s">
        <v>607</v>
      </c>
      <c r="E1252" s="1079">
        <v>0</v>
      </c>
      <c r="F1252" s="1079">
        <v>32577</v>
      </c>
      <c r="G1252" s="1239">
        <v>32174</v>
      </c>
      <c r="H1252" s="1080">
        <f t="shared" si="277"/>
        <v>0.98762930902170243</v>
      </c>
      <c r="I1252" s="1037"/>
    </row>
    <row r="1253" spans="1:9" ht="17.100000000000001" customHeight="1">
      <c r="A1253" s="1394"/>
      <c r="B1253" s="1395"/>
      <c r="C1253" s="1125" t="s">
        <v>675</v>
      </c>
      <c r="D1253" s="1126" t="s">
        <v>650</v>
      </c>
      <c r="E1253" s="1079">
        <v>2239159</v>
      </c>
      <c r="F1253" s="1079">
        <v>2056838</v>
      </c>
      <c r="G1253" s="1239">
        <v>1872646</v>
      </c>
      <c r="H1253" s="1080">
        <f t="shared" si="277"/>
        <v>0.91044895125430392</v>
      </c>
      <c r="I1253" s="1037"/>
    </row>
    <row r="1254" spans="1:9" ht="17.100000000000001" customHeight="1" thickBot="1">
      <c r="A1254" s="1394"/>
      <c r="B1254" s="1395"/>
      <c r="C1254" s="1266" t="s">
        <v>693</v>
      </c>
      <c r="D1254" s="1108" t="s">
        <v>650</v>
      </c>
      <c r="E1254" s="1483">
        <v>395146</v>
      </c>
      <c r="F1254" s="1483">
        <v>362569</v>
      </c>
      <c r="G1254" s="1502">
        <v>330467</v>
      </c>
      <c r="H1254" s="1370">
        <f t="shared" si="277"/>
        <v>0.91145961182561108</v>
      </c>
      <c r="I1254" s="1037"/>
    </row>
    <row r="1255" spans="1:9" ht="17.100000000000001" customHeight="1" thickBot="1">
      <c r="A1255" s="1394"/>
      <c r="B1255" s="1144" t="s">
        <v>856</v>
      </c>
      <c r="C1255" s="1145"/>
      <c r="D1255" s="1146" t="s">
        <v>857</v>
      </c>
      <c r="E1255" s="1147">
        <f>E1256</f>
        <v>141743</v>
      </c>
      <c r="F1255" s="1147">
        <f t="shared" ref="F1255:G1256" si="281">F1256</f>
        <v>221950</v>
      </c>
      <c r="G1255" s="1147">
        <f t="shared" si="281"/>
        <v>217188</v>
      </c>
      <c r="H1255" s="1148">
        <f t="shared" si="277"/>
        <v>0.97854471727866632</v>
      </c>
      <c r="I1255" s="1037"/>
    </row>
    <row r="1256" spans="1:9" ht="17.100000000000001" customHeight="1">
      <c r="A1256" s="1394"/>
      <c r="B1256" s="1395"/>
      <c r="C1256" s="2112" t="s">
        <v>560</v>
      </c>
      <c r="D1256" s="2112"/>
      <c r="E1256" s="1063">
        <f>E1257</f>
        <v>141743</v>
      </c>
      <c r="F1256" s="1063">
        <f t="shared" si="281"/>
        <v>221950</v>
      </c>
      <c r="G1256" s="1063">
        <f t="shared" si="281"/>
        <v>217188</v>
      </c>
      <c r="H1256" s="1064">
        <f t="shared" si="277"/>
        <v>0.97854471727866632</v>
      </c>
      <c r="I1256" s="1037"/>
    </row>
    <row r="1257" spans="1:9" ht="17.100000000000001" customHeight="1">
      <c r="A1257" s="1394"/>
      <c r="B1257" s="1395"/>
      <c r="C1257" s="2224" t="s">
        <v>561</v>
      </c>
      <c r="D1257" s="2224"/>
      <c r="E1257" s="1079">
        <f>E1258+E1263</f>
        <v>141743</v>
      </c>
      <c r="F1257" s="1079">
        <f t="shared" ref="F1257:G1257" si="282">F1258+F1263</f>
        <v>221950</v>
      </c>
      <c r="G1257" s="1079">
        <f t="shared" si="282"/>
        <v>217188</v>
      </c>
      <c r="H1257" s="1080">
        <f t="shared" si="277"/>
        <v>0.97854471727866632</v>
      </c>
      <c r="I1257" s="1037"/>
    </row>
    <row r="1258" spans="1:9" ht="17.100000000000001" customHeight="1">
      <c r="A1258" s="1394"/>
      <c r="B1258" s="1395"/>
      <c r="C1258" s="2236" t="s">
        <v>562</v>
      </c>
      <c r="D1258" s="2236"/>
      <c r="E1258" s="1115">
        <f>SUM(E1259:E1262)</f>
        <v>124384</v>
      </c>
      <c r="F1258" s="1115">
        <f t="shared" ref="F1258:G1258" si="283">SUM(F1259:F1262)</f>
        <v>194986</v>
      </c>
      <c r="G1258" s="1115">
        <f t="shared" si="283"/>
        <v>190796</v>
      </c>
      <c r="H1258" s="1116">
        <f t="shared" si="277"/>
        <v>0.97851127773276025</v>
      </c>
      <c r="I1258" s="1037"/>
    </row>
    <row r="1259" spans="1:9" ht="17.100000000000001" customHeight="1">
      <c r="A1259" s="1394"/>
      <c r="B1259" s="1395"/>
      <c r="C1259" s="1359" t="s">
        <v>145</v>
      </c>
      <c r="D1259" s="1360" t="s">
        <v>563</v>
      </c>
      <c r="E1259" s="1079">
        <v>103965</v>
      </c>
      <c r="F1259" s="1079">
        <v>164007</v>
      </c>
      <c r="G1259" s="1079">
        <v>161559</v>
      </c>
      <c r="H1259" s="1080">
        <f t="shared" si="277"/>
        <v>0.98507380782527576</v>
      </c>
      <c r="I1259" s="1037"/>
    </row>
    <row r="1260" spans="1:9" ht="17.100000000000001" customHeight="1">
      <c r="A1260" s="1394"/>
      <c r="B1260" s="1395"/>
      <c r="C1260" s="1367" t="s">
        <v>146</v>
      </c>
      <c r="D1260" s="1368" t="s">
        <v>566</v>
      </c>
      <c r="E1260" s="1079">
        <v>17872</v>
      </c>
      <c r="F1260" s="1079">
        <v>27701</v>
      </c>
      <c r="G1260" s="1079">
        <v>26391</v>
      </c>
      <c r="H1260" s="1080">
        <f t="shared" si="277"/>
        <v>0.95270928847334035</v>
      </c>
      <c r="I1260" s="1037"/>
    </row>
    <row r="1261" spans="1:9" ht="17.100000000000001" customHeight="1">
      <c r="A1261" s="1394"/>
      <c r="B1261" s="1395"/>
      <c r="C1261" s="1469" t="s">
        <v>147</v>
      </c>
      <c r="D1261" s="1250" t="s">
        <v>567</v>
      </c>
      <c r="E1261" s="1079">
        <v>2547</v>
      </c>
      <c r="F1261" s="1079">
        <v>3278</v>
      </c>
      <c r="G1261" s="1079">
        <v>2846</v>
      </c>
      <c r="H1261" s="1080">
        <f t="shared" si="277"/>
        <v>0.86821232458816355</v>
      </c>
      <c r="I1261" s="1037"/>
    </row>
    <row r="1262" spans="1:9" ht="17.100000000000001" customHeight="1">
      <c r="A1262" s="1394"/>
      <c r="B1262" s="1395"/>
      <c r="C1262" s="1266"/>
      <c r="D1262" s="1108"/>
      <c r="E1262" s="1483"/>
      <c r="F1262" s="1483"/>
      <c r="G1262" s="1483"/>
      <c r="H1262" s="1485"/>
      <c r="I1262" s="1037"/>
    </row>
    <row r="1263" spans="1:9" ht="17.100000000000001" customHeight="1">
      <c r="A1263" s="1394"/>
      <c r="B1263" s="1395"/>
      <c r="C1263" s="2225" t="s">
        <v>570</v>
      </c>
      <c r="D1263" s="2225"/>
      <c r="E1263" s="1489">
        <f>SUM(E1264:E1269)</f>
        <v>17359</v>
      </c>
      <c r="F1263" s="1489">
        <f t="shared" ref="F1263:G1263" si="284">SUM(F1264:F1269)</f>
        <v>26964</v>
      </c>
      <c r="G1263" s="1489">
        <f t="shared" si="284"/>
        <v>26392</v>
      </c>
      <c r="H1263" s="1490">
        <f t="shared" si="277"/>
        <v>0.97878653018839934</v>
      </c>
      <c r="I1263" s="1037"/>
    </row>
    <row r="1264" spans="1:9" ht="17.100000000000001" customHeight="1">
      <c r="A1264" s="1394"/>
      <c r="B1264" s="1395"/>
      <c r="C1264" s="1125" t="s">
        <v>143</v>
      </c>
      <c r="D1264" s="1126" t="s">
        <v>573</v>
      </c>
      <c r="E1264" s="1103">
        <v>1893</v>
      </c>
      <c r="F1264" s="1103">
        <v>2693</v>
      </c>
      <c r="G1264" s="1103">
        <v>2690</v>
      </c>
      <c r="H1264" s="1104">
        <f t="shared" si="277"/>
        <v>0.9988860007426662</v>
      </c>
      <c r="I1264" s="1037"/>
    </row>
    <row r="1265" spans="1:9" ht="17.100000000000001" customHeight="1">
      <c r="A1265" s="1394"/>
      <c r="B1265" s="1395"/>
      <c r="C1265" s="1359" t="s">
        <v>724</v>
      </c>
      <c r="D1265" s="1360" t="s">
        <v>725</v>
      </c>
      <c r="E1265" s="1103">
        <v>600</v>
      </c>
      <c r="F1265" s="1103">
        <v>2500</v>
      </c>
      <c r="G1265" s="1103">
        <v>2499</v>
      </c>
      <c r="H1265" s="1104">
        <f t="shared" si="277"/>
        <v>0.99960000000000004</v>
      </c>
      <c r="I1265" s="1037"/>
    </row>
    <row r="1266" spans="1:9" ht="17.100000000000001" customHeight="1">
      <c r="A1266" s="1394"/>
      <c r="B1266" s="1395"/>
      <c r="C1266" s="1359" t="s">
        <v>576</v>
      </c>
      <c r="D1266" s="1360" t="s">
        <v>577</v>
      </c>
      <c r="E1266" s="1103">
        <v>5684</v>
      </c>
      <c r="F1266" s="1103">
        <v>12384</v>
      </c>
      <c r="G1266" s="1103">
        <v>12384</v>
      </c>
      <c r="H1266" s="1104">
        <f t="shared" si="277"/>
        <v>1</v>
      </c>
      <c r="I1266" s="1037"/>
    </row>
    <row r="1267" spans="1:9" ht="17.100000000000001" customHeight="1">
      <c r="A1267" s="1394"/>
      <c r="B1267" s="1395"/>
      <c r="C1267" s="1359" t="s">
        <v>25</v>
      </c>
      <c r="D1267" s="1360" t="s">
        <v>581</v>
      </c>
      <c r="E1267" s="1103">
        <v>2250</v>
      </c>
      <c r="F1267" s="1103">
        <v>4500</v>
      </c>
      <c r="G1267" s="1103">
        <v>3932</v>
      </c>
      <c r="H1267" s="1104">
        <f t="shared" si="277"/>
        <v>0.87377777777777776</v>
      </c>
      <c r="I1267" s="1037"/>
    </row>
    <row r="1268" spans="1:9" ht="17.100000000000001" customHeight="1">
      <c r="A1268" s="1394"/>
      <c r="B1268" s="1395"/>
      <c r="C1268" s="1359" t="s">
        <v>591</v>
      </c>
      <c r="D1268" s="1360" t="s">
        <v>592</v>
      </c>
      <c r="E1268" s="1103">
        <v>6538</v>
      </c>
      <c r="F1268" s="1103">
        <v>4493</v>
      </c>
      <c r="G1268" s="1103">
        <v>4493</v>
      </c>
      <c r="H1268" s="1104">
        <f t="shared" si="277"/>
        <v>1</v>
      </c>
      <c r="I1268" s="1037"/>
    </row>
    <row r="1269" spans="1:9" ht="17.100000000000001" customHeight="1" thickBot="1">
      <c r="A1269" s="1394"/>
      <c r="B1269" s="1395"/>
      <c r="C1269" s="1359" t="s">
        <v>597</v>
      </c>
      <c r="D1269" s="1360" t="s">
        <v>598</v>
      </c>
      <c r="E1269" s="1103">
        <v>394</v>
      </c>
      <c r="F1269" s="1103">
        <v>394</v>
      </c>
      <c r="G1269" s="1103">
        <v>394</v>
      </c>
      <c r="H1269" s="1104">
        <f t="shared" si="277"/>
        <v>1</v>
      </c>
      <c r="I1269" s="1037"/>
    </row>
    <row r="1270" spans="1:9" ht="24.75" customHeight="1" thickBot="1">
      <c r="A1270" s="1394"/>
      <c r="B1270" s="1144" t="s">
        <v>858</v>
      </c>
      <c r="C1270" s="1145"/>
      <c r="D1270" s="1146" t="s">
        <v>467</v>
      </c>
      <c r="E1270" s="1147">
        <f>E1271</f>
        <v>0</v>
      </c>
      <c r="F1270" s="1147">
        <f t="shared" ref="F1270:G1272" si="285">F1271</f>
        <v>12619</v>
      </c>
      <c r="G1270" s="1147">
        <f t="shared" si="285"/>
        <v>12447</v>
      </c>
      <c r="H1270" s="1148">
        <f t="shared" si="277"/>
        <v>0.98636975988588638</v>
      </c>
      <c r="I1270" s="1037"/>
    </row>
    <row r="1271" spans="1:9" ht="17.100000000000001" customHeight="1">
      <c r="A1271" s="1394"/>
      <c r="B1271" s="1395"/>
      <c r="C1271" s="2112" t="s">
        <v>560</v>
      </c>
      <c r="D1271" s="2112"/>
      <c r="E1271" s="1063">
        <f>E1272</f>
        <v>0</v>
      </c>
      <c r="F1271" s="1063">
        <f t="shared" si="285"/>
        <v>12619</v>
      </c>
      <c r="G1271" s="1063">
        <f t="shared" si="285"/>
        <v>12447</v>
      </c>
      <c r="H1271" s="1064">
        <f t="shared" si="277"/>
        <v>0.98636975988588638</v>
      </c>
      <c r="I1271" s="1037"/>
    </row>
    <row r="1272" spans="1:9" ht="17.100000000000001" customHeight="1">
      <c r="A1272" s="1394"/>
      <c r="B1272" s="1395"/>
      <c r="C1272" s="2224" t="s">
        <v>561</v>
      </c>
      <c r="D1272" s="2224"/>
      <c r="E1272" s="1079">
        <f>E1273</f>
        <v>0</v>
      </c>
      <c r="F1272" s="1079">
        <f t="shared" si="285"/>
        <v>12619</v>
      </c>
      <c r="G1272" s="1079">
        <f t="shared" si="285"/>
        <v>12447</v>
      </c>
      <c r="H1272" s="1080">
        <f t="shared" si="277"/>
        <v>0.98636975988588638</v>
      </c>
      <c r="I1272" s="1037"/>
    </row>
    <row r="1273" spans="1:9" ht="17.100000000000001" customHeight="1">
      <c r="A1273" s="1394"/>
      <c r="B1273" s="1395"/>
      <c r="C1273" s="2225" t="s">
        <v>570</v>
      </c>
      <c r="D1273" s="2225"/>
      <c r="E1273" s="1489">
        <f>E1274+E1275</f>
        <v>0</v>
      </c>
      <c r="F1273" s="1489">
        <f t="shared" ref="F1273:G1273" si="286">F1274+F1275</f>
        <v>12619</v>
      </c>
      <c r="G1273" s="1489">
        <f t="shared" si="286"/>
        <v>12447</v>
      </c>
      <c r="H1273" s="1490">
        <f t="shared" si="277"/>
        <v>0.98636975988588638</v>
      </c>
      <c r="I1273" s="1037"/>
    </row>
    <row r="1274" spans="1:9" ht="17.100000000000001" customHeight="1">
      <c r="A1274" s="1394"/>
      <c r="B1274" s="1395"/>
      <c r="C1274" s="1359" t="s">
        <v>724</v>
      </c>
      <c r="D1274" s="1360" t="s">
        <v>725</v>
      </c>
      <c r="E1274" s="1103">
        <v>0</v>
      </c>
      <c r="F1274" s="1103">
        <v>12494</v>
      </c>
      <c r="G1274" s="1103">
        <v>12447</v>
      </c>
      <c r="H1274" s="1104">
        <f t="shared" si="277"/>
        <v>0.99623819433327998</v>
      </c>
      <c r="I1274" s="1037"/>
    </row>
    <row r="1275" spans="1:9" ht="17.100000000000001" customHeight="1" thickBot="1">
      <c r="A1275" s="1394"/>
      <c r="B1275" s="1395"/>
      <c r="C1275" s="1359" t="s">
        <v>25</v>
      </c>
      <c r="D1275" s="1360" t="s">
        <v>581</v>
      </c>
      <c r="E1275" s="1103">
        <v>0</v>
      </c>
      <c r="F1275" s="1103">
        <v>125</v>
      </c>
      <c r="G1275" s="1103">
        <v>0</v>
      </c>
      <c r="H1275" s="1104">
        <f t="shared" si="277"/>
        <v>0</v>
      </c>
      <c r="I1275" s="1037"/>
    </row>
    <row r="1276" spans="1:9" ht="17.100000000000001" customHeight="1" thickBot="1">
      <c r="A1276" s="1394"/>
      <c r="B1276" s="1144" t="s">
        <v>859</v>
      </c>
      <c r="C1276" s="1145"/>
      <c r="D1276" s="1146" t="s">
        <v>11</v>
      </c>
      <c r="E1276" s="1147">
        <f>E1277+E1309</f>
        <v>11486870</v>
      </c>
      <c r="F1276" s="1147">
        <f>F1277+F1309</f>
        <v>16866449</v>
      </c>
      <c r="G1276" s="1147">
        <f>G1277+G1309</f>
        <v>15896187</v>
      </c>
      <c r="H1276" s="1148">
        <f t="shared" si="277"/>
        <v>0.94247384259721767</v>
      </c>
      <c r="I1276" s="1037"/>
    </row>
    <row r="1277" spans="1:9" ht="17.100000000000001" customHeight="1">
      <c r="A1277" s="1394"/>
      <c r="B1277" s="1395"/>
      <c r="C1277" s="2112" t="s">
        <v>560</v>
      </c>
      <c r="D1277" s="2112"/>
      <c r="E1277" s="1063">
        <f>E1278+E1290+E1297+E1302</f>
        <v>11246270</v>
      </c>
      <c r="F1277" s="1063">
        <f t="shared" ref="F1277:G1277" si="287">F1278+F1290+F1297+F1302</f>
        <v>16563875</v>
      </c>
      <c r="G1277" s="1063">
        <f t="shared" si="287"/>
        <v>15610957</v>
      </c>
      <c r="H1277" s="1064">
        <f t="shared" si="277"/>
        <v>0.94247010436869394</v>
      </c>
      <c r="I1277" s="1037"/>
    </row>
    <row r="1278" spans="1:9" ht="17.100000000000001" customHeight="1">
      <c r="A1278" s="1394"/>
      <c r="B1278" s="1395"/>
      <c r="C1278" s="2224" t="s">
        <v>561</v>
      </c>
      <c r="D1278" s="2224"/>
      <c r="E1278" s="1079">
        <f t="shared" ref="E1278:G1278" si="288">E1279+E1285</f>
        <v>663940</v>
      </c>
      <c r="F1278" s="1079">
        <f t="shared" si="288"/>
        <v>643948</v>
      </c>
      <c r="G1278" s="1079">
        <f t="shared" si="288"/>
        <v>623074</v>
      </c>
      <c r="H1278" s="1080">
        <f t="shared" si="277"/>
        <v>0.96758433910812669</v>
      </c>
      <c r="I1278" s="1037"/>
    </row>
    <row r="1279" spans="1:9" ht="17.100000000000001" customHeight="1">
      <c r="A1279" s="1394"/>
      <c r="B1279" s="1395"/>
      <c r="C1279" s="2236" t="s">
        <v>562</v>
      </c>
      <c r="D1279" s="2236"/>
      <c r="E1279" s="1115">
        <f t="shared" ref="E1279:G1279" si="289">SUM(E1280:E1283)</f>
        <v>54878</v>
      </c>
      <c r="F1279" s="1115">
        <f t="shared" si="289"/>
        <v>3911</v>
      </c>
      <c r="G1279" s="1115">
        <f t="shared" si="289"/>
        <v>2780</v>
      </c>
      <c r="H1279" s="1116">
        <f t="shared" si="277"/>
        <v>0.71081564817182308</v>
      </c>
      <c r="I1279" s="1037"/>
    </row>
    <row r="1280" spans="1:9" ht="17.100000000000001" customHeight="1">
      <c r="A1280" s="1394"/>
      <c r="B1280" s="1395"/>
      <c r="C1280" s="1359" t="s">
        <v>145</v>
      </c>
      <c r="D1280" s="1360" t="s">
        <v>563</v>
      </c>
      <c r="E1280" s="1079">
        <v>43195</v>
      </c>
      <c r="F1280" s="1079">
        <v>595</v>
      </c>
      <c r="G1280" s="1079">
        <v>0</v>
      </c>
      <c r="H1280" s="1080">
        <f t="shared" si="277"/>
        <v>0</v>
      </c>
      <c r="I1280" s="1037"/>
    </row>
    <row r="1281" spans="1:9" ht="17.100000000000001" customHeight="1">
      <c r="A1281" s="1394"/>
      <c r="B1281" s="1395"/>
      <c r="C1281" s="1359" t="s">
        <v>146</v>
      </c>
      <c r="D1281" s="1360" t="s">
        <v>566</v>
      </c>
      <c r="E1281" s="1079">
        <v>7425</v>
      </c>
      <c r="F1281" s="1079">
        <v>93</v>
      </c>
      <c r="G1281" s="1079">
        <v>0</v>
      </c>
      <c r="H1281" s="1080">
        <f t="shared" si="277"/>
        <v>0</v>
      </c>
      <c r="I1281" s="1037"/>
    </row>
    <row r="1282" spans="1:9" ht="17.100000000000001" customHeight="1">
      <c r="A1282" s="1394"/>
      <c r="B1282" s="1395"/>
      <c r="C1282" s="1359" t="s">
        <v>147</v>
      </c>
      <c r="D1282" s="1360" t="s">
        <v>567</v>
      </c>
      <c r="E1282" s="1079">
        <v>1058</v>
      </c>
      <c r="F1282" s="1079">
        <v>23</v>
      </c>
      <c r="G1282" s="1079">
        <v>0</v>
      </c>
      <c r="H1282" s="1080">
        <f t="shared" si="277"/>
        <v>0</v>
      </c>
      <c r="I1282" s="1037"/>
    </row>
    <row r="1283" spans="1:9" ht="17.100000000000001" customHeight="1">
      <c r="A1283" s="1394"/>
      <c r="B1283" s="1395"/>
      <c r="C1283" s="1359" t="s">
        <v>568</v>
      </c>
      <c r="D1283" s="1360" t="s">
        <v>569</v>
      </c>
      <c r="E1283" s="1079">
        <v>3200</v>
      </c>
      <c r="F1283" s="1079">
        <v>3200</v>
      </c>
      <c r="G1283" s="1079">
        <v>2780</v>
      </c>
      <c r="H1283" s="1080">
        <f t="shared" si="277"/>
        <v>0.86875000000000002</v>
      </c>
      <c r="I1283" s="1037"/>
    </row>
    <row r="1284" spans="1:9" ht="17.100000000000001" customHeight="1">
      <c r="A1284" s="1394"/>
      <c r="B1284" s="1395"/>
      <c r="C1284" s="1098"/>
      <c r="D1284" s="1098"/>
      <c r="E1284" s="1440"/>
      <c r="F1284" s="1440"/>
      <c r="G1284" s="1440"/>
      <c r="H1284" s="1441"/>
      <c r="I1284" s="1037"/>
    </row>
    <row r="1285" spans="1:9" ht="17.100000000000001" customHeight="1">
      <c r="A1285" s="1394"/>
      <c r="B1285" s="1395"/>
      <c r="C1285" s="2225" t="s">
        <v>570</v>
      </c>
      <c r="D1285" s="2225"/>
      <c r="E1285" s="1115">
        <f t="shared" ref="E1285:G1285" si="290">SUM(E1286:E1288)</f>
        <v>609062</v>
      </c>
      <c r="F1285" s="1115">
        <f t="shared" si="290"/>
        <v>640037</v>
      </c>
      <c r="G1285" s="1115">
        <f t="shared" si="290"/>
        <v>620294</v>
      </c>
      <c r="H1285" s="1116">
        <f t="shared" si="277"/>
        <v>0.9691533458221947</v>
      </c>
      <c r="I1285" s="1037"/>
    </row>
    <row r="1286" spans="1:9" ht="17.100000000000001" customHeight="1">
      <c r="A1286" s="1394"/>
      <c r="B1286" s="1395"/>
      <c r="C1286" s="1359" t="s">
        <v>143</v>
      </c>
      <c r="D1286" s="1360" t="s">
        <v>573</v>
      </c>
      <c r="E1286" s="1079">
        <v>14000</v>
      </c>
      <c r="F1286" s="1079">
        <v>9055</v>
      </c>
      <c r="G1286" s="1079">
        <v>966</v>
      </c>
      <c r="H1286" s="1080">
        <f t="shared" si="277"/>
        <v>0.10668139149641083</v>
      </c>
      <c r="I1286" s="1037"/>
    </row>
    <row r="1287" spans="1:9" ht="17.100000000000001" customHeight="1">
      <c r="A1287" s="1394"/>
      <c r="B1287" s="1395"/>
      <c r="C1287" s="1359" t="s">
        <v>25</v>
      </c>
      <c r="D1287" s="1360" t="s">
        <v>581</v>
      </c>
      <c r="E1287" s="1079">
        <v>23000</v>
      </c>
      <c r="F1287" s="1079">
        <v>23000</v>
      </c>
      <c r="G1287" s="1079">
        <v>11410</v>
      </c>
      <c r="H1287" s="1080">
        <f t="shared" si="277"/>
        <v>0.49608695652173912</v>
      </c>
    </row>
    <row r="1288" spans="1:9" ht="17.100000000000001" customHeight="1">
      <c r="A1288" s="1394"/>
      <c r="B1288" s="1395"/>
      <c r="C1288" s="1359" t="s">
        <v>591</v>
      </c>
      <c r="D1288" s="1360" t="s">
        <v>592</v>
      </c>
      <c r="E1288" s="1079">
        <v>572062</v>
      </c>
      <c r="F1288" s="1079">
        <v>607982</v>
      </c>
      <c r="G1288" s="1079">
        <v>607918</v>
      </c>
      <c r="H1288" s="1080">
        <f t="shared" si="277"/>
        <v>0.9998947337256695</v>
      </c>
    </row>
    <row r="1289" spans="1:9" ht="17.100000000000001" customHeight="1">
      <c r="A1289" s="1394"/>
      <c r="B1289" s="1395"/>
      <c r="C1289" s="1098"/>
      <c r="D1289" s="1098"/>
      <c r="E1289" s="1440"/>
      <c r="F1289" s="1440"/>
      <c r="G1289" s="1440"/>
      <c r="H1289" s="1441"/>
    </row>
    <row r="1290" spans="1:9" ht="17.100000000000001" customHeight="1">
      <c r="A1290" s="1394"/>
      <c r="B1290" s="1395"/>
      <c r="C1290" s="2233" t="s">
        <v>647</v>
      </c>
      <c r="D1290" s="2233"/>
      <c r="E1290" s="1079">
        <f>SUM(E1291:E1295)</f>
        <v>10239135</v>
      </c>
      <c r="F1290" s="1079">
        <f>SUM(F1291:F1295)</f>
        <v>15430833</v>
      </c>
      <c r="G1290" s="1079">
        <f>SUM(G1291:G1295)</f>
        <v>14514606</v>
      </c>
      <c r="H1290" s="1080">
        <f t="shared" si="277"/>
        <v>0.94062362025433111</v>
      </c>
    </row>
    <row r="1291" spans="1:9" ht="51.75" customHeight="1">
      <c r="A1291" s="1394"/>
      <c r="B1291" s="1395"/>
      <c r="C1291" s="1361" t="s">
        <v>508</v>
      </c>
      <c r="D1291" s="1312" t="s">
        <v>665</v>
      </c>
      <c r="E1291" s="1369">
        <v>6787664</v>
      </c>
      <c r="F1291" s="1369">
        <v>6862101</v>
      </c>
      <c r="G1291" s="1369">
        <v>6428429</v>
      </c>
      <c r="H1291" s="1370">
        <f t="shared" si="277"/>
        <v>0.93680186286969547</v>
      </c>
    </row>
    <row r="1292" spans="1:9" ht="51">
      <c r="A1292" s="1394"/>
      <c r="B1292" s="1395"/>
      <c r="C1292" s="1134" t="s">
        <v>359</v>
      </c>
      <c r="D1292" s="1503" t="s">
        <v>619</v>
      </c>
      <c r="E1292" s="1079">
        <v>3451471</v>
      </c>
      <c r="F1292" s="1079">
        <v>6983127</v>
      </c>
      <c r="G1292" s="1079">
        <v>6500587</v>
      </c>
      <c r="H1292" s="1080">
        <f t="shared" si="277"/>
        <v>0.93089915162648484</v>
      </c>
    </row>
    <row r="1293" spans="1:9" ht="43.5" customHeight="1">
      <c r="A1293" s="1394"/>
      <c r="B1293" s="1395"/>
      <c r="C1293" s="1134" t="s">
        <v>125</v>
      </c>
      <c r="D1293" s="1504" t="s">
        <v>656</v>
      </c>
      <c r="E1293" s="1079">
        <v>0</v>
      </c>
      <c r="F1293" s="1079">
        <v>23000</v>
      </c>
      <c r="G1293" s="1079">
        <v>23000</v>
      </c>
      <c r="H1293" s="1080">
        <f t="shared" si="277"/>
        <v>1</v>
      </c>
    </row>
    <row r="1294" spans="1:9" ht="43.5" customHeight="1">
      <c r="A1294" s="1394"/>
      <c r="B1294" s="1395"/>
      <c r="C1294" s="1134" t="s">
        <v>474</v>
      </c>
      <c r="D1294" s="1505" t="s">
        <v>666</v>
      </c>
      <c r="E1294" s="1079">
        <v>0</v>
      </c>
      <c r="F1294" s="1079">
        <v>454</v>
      </c>
      <c r="G1294" s="1079">
        <v>453</v>
      </c>
      <c r="H1294" s="1080">
        <f t="shared" si="277"/>
        <v>0.99779735682819382</v>
      </c>
    </row>
    <row r="1295" spans="1:9" ht="18.75" customHeight="1">
      <c r="A1295" s="1394"/>
      <c r="B1295" s="1395"/>
      <c r="C1295" s="1506" t="s">
        <v>476</v>
      </c>
      <c r="D1295" s="1212" t="s">
        <v>613</v>
      </c>
      <c r="E1295" s="1103">
        <v>0</v>
      </c>
      <c r="F1295" s="1103">
        <v>1562151</v>
      </c>
      <c r="G1295" s="1103">
        <v>1562137</v>
      </c>
      <c r="H1295" s="1104">
        <f t="shared" si="277"/>
        <v>0.99999103799824729</v>
      </c>
    </row>
    <row r="1296" spans="1:9" ht="17.100000000000001" customHeight="1">
      <c r="A1296" s="1394"/>
      <c r="B1296" s="1395"/>
      <c r="C1296" s="1229"/>
      <c r="D1296" s="1230"/>
      <c r="E1296" s="1231"/>
      <c r="F1296" s="1231"/>
      <c r="G1296" s="1231"/>
      <c r="H1296" s="1232"/>
    </row>
    <row r="1297" spans="1:9" ht="17.100000000000001" customHeight="1">
      <c r="A1297" s="1394"/>
      <c r="B1297" s="1395"/>
      <c r="C1297" s="2171" t="s">
        <v>779</v>
      </c>
      <c r="D1297" s="2171"/>
      <c r="E1297" s="1103">
        <f t="shared" ref="E1297:G1297" si="291">SUM(E1298:E1300)</f>
        <v>343195</v>
      </c>
      <c r="F1297" s="1103">
        <f t="shared" si="291"/>
        <v>402995</v>
      </c>
      <c r="G1297" s="1103">
        <f t="shared" si="291"/>
        <v>388569</v>
      </c>
      <c r="H1297" s="1104">
        <f t="shared" si="277"/>
        <v>0.96420302981426564</v>
      </c>
    </row>
    <row r="1298" spans="1:9" ht="17.100000000000001" customHeight="1">
      <c r="A1298" s="1394"/>
      <c r="B1298" s="1395"/>
      <c r="C1298" s="1359" t="s">
        <v>603</v>
      </c>
      <c r="D1298" s="1360" t="s">
        <v>604</v>
      </c>
      <c r="E1298" s="1079">
        <v>43195</v>
      </c>
      <c r="F1298" s="1079">
        <v>43195</v>
      </c>
      <c r="G1298" s="1079">
        <v>33319</v>
      </c>
      <c r="H1298" s="1080">
        <f t="shared" si="277"/>
        <v>0.7713624262067369</v>
      </c>
    </row>
    <row r="1299" spans="1:9" ht="17.100000000000001" customHeight="1">
      <c r="A1299" s="1394"/>
      <c r="B1299" s="1395"/>
      <c r="C1299" s="1359" t="s">
        <v>860</v>
      </c>
      <c r="D1299" s="1360" t="s">
        <v>861</v>
      </c>
      <c r="E1299" s="1079">
        <v>100000</v>
      </c>
      <c r="F1299" s="1079">
        <v>100000</v>
      </c>
      <c r="G1299" s="1079">
        <v>98000</v>
      </c>
      <c r="H1299" s="1080">
        <f t="shared" si="277"/>
        <v>0.98</v>
      </c>
    </row>
    <row r="1300" spans="1:9" ht="17.100000000000001" customHeight="1">
      <c r="A1300" s="1394"/>
      <c r="B1300" s="1395"/>
      <c r="C1300" s="1359" t="s">
        <v>838</v>
      </c>
      <c r="D1300" s="1360" t="s">
        <v>839</v>
      </c>
      <c r="E1300" s="1079">
        <v>200000</v>
      </c>
      <c r="F1300" s="1079">
        <v>259800</v>
      </c>
      <c r="G1300" s="1079">
        <v>257250</v>
      </c>
      <c r="H1300" s="1080">
        <f t="shared" si="277"/>
        <v>0.99018475750577373</v>
      </c>
    </row>
    <row r="1301" spans="1:9" ht="17.100000000000001" customHeight="1">
      <c r="A1301" s="1394"/>
      <c r="B1301" s="1395"/>
      <c r="C1301" s="1266"/>
      <c r="D1301" s="1272"/>
      <c r="E1301" s="1483"/>
      <c r="F1301" s="1483"/>
      <c r="G1301" s="1483"/>
      <c r="H1301" s="1080"/>
    </row>
    <row r="1302" spans="1:9" ht="17.100000000000001" customHeight="1">
      <c r="A1302" s="1394"/>
      <c r="B1302" s="1395"/>
      <c r="C1302" s="2234" t="s">
        <v>616</v>
      </c>
      <c r="D1302" s="2235"/>
      <c r="E1302" s="1079">
        <f>SUM(E1303:E1307)</f>
        <v>0</v>
      </c>
      <c r="F1302" s="1079">
        <f t="shared" ref="F1302:G1302" si="292">SUM(F1303:F1307)</f>
        <v>86099</v>
      </c>
      <c r="G1302" s="1079">
        <f t="shared" si="292"/>
        <v>84708</v>
      </c>
      <c r="H1302" s="1080">
        <f t="shared" si="277"/>
        <v>0.98384417937490565</v>
      </c>
    </row>
    <row r="1303" spans="1:9" ht="54" customHeight="1">
      <c r="A1303" s="1394"/>
      <c r="B1303" s="1395"/>
      <c r="C1303" s="1134" t="s">
        <v>469</v>
      </c>
      <c r="D1303" s="1135" t="s">
        <v>665</v>
      </c>
      <c r="E1303" s="1079">
        <v>0</v>
      </c>
      <c r="F1303" s="1079">
        <v>28279</v>
      </c>
      <c r="G1303" s="1079">
        <v>27491</v>
      </c>
      <c r="H1303" s="1080">
        <f t="shared" si="277"/>
        <v>0.9721347996746702</v>
      </c>
      <c r="I1303" s="1037"/>
    </row>
    <row r="1304" spans="1:9" ht="16.5" customHeight="1">
      <c r="A1304" s="1394"/>
      <c r="B1304" s="1395"/>
      <c r="C1304" s="1134" t="s">
        <v>862</v>
      </c>
      <c r="D1304" s="1360" t="s">
        <v>566</v>
      </c>
      <c r="E1304" s="1079">
        <v>0</v>
      </c>
      <c r="F1304" s="1079">
        <v>600</v>
      </c>
      <c r="G1304" s="1079">
        <v>599</v>
      </c>
      <c r="H1304" s="1507">
        <f t="shared" si="277"/>
        <v>0.99833333333333329</v>
      </c>
      <c r="I1304" s="1037"/>
    </row>
    <row r="1305" spans="1:9" ht="16.5" customHeight="1">
      <c r="A1305" s="1394"/>
      <c r="B1305" s="1395"/>
      <c r="C1305" s="1134" t="s">
        <v>863</v>
      </c>
      <c r="D1305" s="1360" t="s">
        <v>567</v>
      </c>
      <c r="E1305" s="1103">
        <v>0</v>
      </c>
      <c r="F1305" s="1103">
        <v>80</v>
      </c>
      <c r="G1305" s="1103">
        <v>49</v>
      </c>
      <c r="H1305" s="1508">
        <f t="shared" si="277"/>
        <v>0.61250000000000004</v>
      </c>
      <c r="I1305" s="1037"/>
    </row>
    <row r="1306" spans="1:9" ht="16.5" customHeight="1">
      <c r="A1306" s="1394"/>
      <c r="B1306" s="1395"/>
      <c r="C1306" s="1134" t="s">
        <v>864</v>
      </c>
      <c r="D1306" s="1360" t="s">
        <v>569</v>
      </c>
      <c r="E1306" s="1079">
        <v>0</v>
      </c>
      <c r="F1306" s="1079">
        <v>3500</v>
      </c>
      <c r="G1306" s="1079">
        <v>3500</v>
      </c>
      <c r="H1306" s="1509">
        <f t="shared" si="277"/>
        <v>1</v>
      </c>
      <c r="I1306" s="1037"/>
    </row>
    <row r="1307" spans="1:9" ht="16.5" customHeight="1">
      <c r="A1307" s="1394"/>
      <c r="B1307" s="1395"/>
      <c r="C1307" s="1134" t="s">
        <v>865</v>
      </c>
      <c r="D1307" s="1135" t="s">
        <v>773</v>
      </c>
      <c r="E1307" s="1079">
        <v>0</v>
      </c>
      <c r="F1307" s="1079">
        <v>53640</v>
      </c>
      <c r="G1307" s="1079">
        <v>53069</v>
      </c>
      <c r="H1307" s="1507">
        <f t="shared" si="277"/>
        <v>0.98935495898583148</v>
      </c>
      <c r="I1307" s="1037"/>
    </row>
    <row r="1308" spans="1:9" ht="17.100000000000001" customHeight="1">
      <c r="A1308" s="1394"/>
      <c r="B1308" s="1395"/>
      <c r="C1308" s="1098"/>
      <c r="D1308" s="1098"/>
      <c r="E1308" s="1440"/>
      <c r="F1308" s="1440"/>
      <c r="G1308" s="1440"/>
      <c r="H1308" s="1441"/>
      <c r="I1308" s="1037"/>
    </row>
    <row r="1309" spans="1:9" ht="17.100000000000001" customHeight="1">
      <c r="A1309" s="1394"/>
      <c r="B1309" s="1395"/>
      <c r="C1309" s="2217" t="s">
        <v>605</v>
      </c>
      <c r="D1309" s="2217"/>
      <c r="E1309" s="1083">
        <f>E1310</f>
        <v>240600</v>
      </c>
      <c r="F1309" s="1083">
        <f>F1310</f>
        <v>302574</v>
      </c>
      <c r="G1309" s="1083">
        <f t="shared" ref="G1309" si="293">G1310</f>
        <v>285230</v>
      </c>
      <c r="H1309" s="1084">
        <f t="shared" si="277"/>
        <v>0.94267848526310916</v>
      </c>
      <c r="I1309" s="1037"/>
    </row>
    <row r="1310" spans="1:9">
      <c r="A1310" s="1394"/>
      <c r="B1310" s="1395"/>
      <c r="C1310" s="2219" t="s">
        <v>606</v>
      </c>
      <c r="D1310" s="2219"/>
      <c r="E1310" s="1079">
        <f>SUM(E1311:E1313)</f>
        <v>240600</v>
      </c>
      <c r="F1310" s="1079">
        <f t="shared" ref="F1310:G1310" si="294">SUM(F1311:F1313)</f>
        <v>302574</v>
      </c>
      <c r="G1310" s="1079">
        <f t="shared" si="294"/>
        <v>285230</v>
      </c>
      <c r="H1310" s="1080">
        <f t="shared" si="277"/>
        <v>0.94267848526310916</v>
      </c>
      <c r="I1310" s="1037"/>
    </row>
    <row r="1311" spans="1:9" ht="42" customHeight="1">
      <c r="A1311" s="1394"/>
      <c r="B1311" s="1395"/>
      <c r="C1311" s="1367" t="s">
        <v>678</v>
      </c>
      <c r="D1311" s="1272" t="s">
        <v>682</v>
      </c>
      <c r="E1311" s="1369">
        <v>18000</v>
      </c>
      <c r="F1311" s="1369">
        <v>60728</v>
      </c>
      <c r="G1311" s="1369">
        <v>53075</v>
      </c>
      <c r="H1311" s="1370">
        <f t="shared" si="277"/>
        <v>0.8739790541430642</v>
      </c>
      <c r="I1311" s="1037"/>
    </row>
    <row r="1312" spans="1:9" ht="51">
      <c r="A1312" s="1394"/>
      <c r="B1312" s="1395"/>
      <c r="C1312" s="1359" t="s">
        <v>679</v>
      </c>
      <c r="D1312" s="1510" t="s">
        <v>680</v>
      </c>
      <c r="E1312" s="1365">
        <v>222600</v>
      </c>
      <c r="F1312" s="1365">
        <v>220381</v>
      </c>
      <c r="G1312" s="1365">
        <v>210695</v>
      </c>
      <c r="H1312" s="1366">
        <f t="shared" si="277"/>
        <v>0.95604884268607548</v>
      </c>
      <c r="I1312" s="1037"/>
    </row>
    <row r="1313" spans="1:9" ht="17.25" customHeight="1" thickBot="1">
      <c r="A1313" s="1394"/>
      <c r="B1313" s="1395"/>
      <c r="C1313" s="1107" t="s">
        <v>477</v>
      </c>
      <c r="D1313" s="1286" t="s">
        <v>774</v>
      </c>
      <c r="E1313" s="1483">
        <v>0</v>
      </c>
      <c r="F1313" s="1483">
        <v>21465</v>
      </c>
      <c r="G1313" s="1483">
        <v>21460</v>
      </c>
      <c r="H1313" s="1485">
        <f t="shared" si="277"/>
        <v>0.99976706266014437</v>
      </c>
      <c r="I1313" s="1037"/>
    </row>
    <row r="1314" spans="1:9" ht="17.100000000000001" customHeight="1" thickBot="1">
      <c r="A1314" s="1051" t="s">
        <v>866</v>
      </c>
      <c r="B1314" s="1168"/>
      <c r="C1314" s="1169"/>
      <c r="D1314" s="1170" t="s">
        <v>867</v>
      </c>
      <c r="E1314" s="1171">
        <f>SUM(E1315,E1327)</f>
        <v>368000</v>
      </c>
      <c r="F1314" s="1171">
        <f t="shared" ref="F1314:G1314" si="295">SUM(F1315,F1327)</f>
        <v>1876738</v>
      </c>
      <c r="G1314" s="1171">
        <f t="shared" si="295"/>
        <v>1402300</v>
      </c>
      <c r="H1314" s="1172">
        <f t="shared" si="277"/>
        <v>0.74720072807179261</v>
      </c>
      <c r="I1314" s="1037"/>
    </row>
    <row r="1315" spans="1:9" ht="17.100000000000001" customHeight="1" thickBot="1">
      <c r="A1315" s="1394"/>
      <c r="B1315" s="1144" t="s">
        <v>868</v>
      </c>
      <c r="C1315" s="1145"/>
      <c r="D1315" s="1146" t="s">
        <v>479</v>
      </c>
      <c r="E1315" s="1147">
        <f t="shared" ref="E1315:G1315" si="296">E1316</f>
        <v>218000</v>
      </c>
      <c r="F1315" s="1147">
        <f t="shared" si="296"/>
        <v>226738</v>
      </c>
      <c r="G1315" s="1147">
        <f t="shared" si="296"/>
        <v>102326</v>
      </c>
      <c r="H1315" s="1148">
        <f t="shared" si="277"/>
        <v>0.4512962097222345</v>
      </c>
      <c r="I1315" s="1037"/>
    </row>
    <row r="1316" spans="1:9" ht="17.100000000000001" customHeight="1">
      <c r="A1316" s="1394"/>
      <c r="B1316" s="2155"/>
      <c r="C1316" s="2157" t="s">
        <v>560</v>
      </c>
      <c r="D1316" s="2157"/>
      <c r="E1316" s="1511">
        <f>E1317+E1322+E1325</f>
        <v>218000</v>
      </c>
      <c r="F1316" s="1511">
        <f t="shared" ref="F1316:G1316" si="297">F1317+F1322+F1325</f>
        <v>226738</v>
      </c>
      <c r="G1316" s="1511">
        <f t="shared" si="297"/>
        <v>102326</v>
      </c>
      <c r="H1316" s="1512">
        <f t="shared" ref="H1316:H1389" si="298">G1316/F1316</f>
        <v>0.4512962097222345</v>
      </c>
      <c r="I1316" s="1037"/>
    </row>
    <row r="1317" spans="1:9" ht="17.100000000000001" customHeight="1">
      <c r="A1317" s="1394"/>
      <c r="B1317" s="2154"/>
      <c r="C1317" s="2224" t="s">
        <v>561</v>
      </c>
      <c r="D1317" s="2224"/>
      <c r="E1317" s="1079">
        <f t="shared" ref="E1317:G1317" si="299">SUM(E1318)</f>
        <v>18000</v>
      </c>
      <c r="F1317" s="1079">
        <f t="shared" si="299"/>
        <v>18000</v>
      </c>
      <c r="G1317" s="1079">
        <f t="shared" si="299"/>
        <v>3589</v>
      </c>
      <c r="H1317" s="1080">
        <f t="shared" si="298"/>
        <v>0.19938888888888889</v>
      </c>
      <c r="I1317" s="1037"/>
    </row>
    <row r="1318" spans="1:9" ht="17.100000000000001" customHeight="1">
      <c r="A1318" s="1394"/>
      <c r="B1318" s="2154"/>
      <c r="C1318" s="2225" t="s">
        <v>570</v>
      </c>
      <c r="D1318" s="2225"/>
      <c r="E1318" s="1115">
        <f>SUM(E1319:E1320)</f>
        <v>18000</v>
      </c>
      <c r="F1318" s="1115">
        <f t="shared" ref="F1318:G1318" si="300">SUM(F1319:F1320)</f>
        <v>18000</v>
      </c>
      <c r="G1318" s="1115">
        <f t="shared" si="300"/>
        <v>3589</v>
      </c>
      <c r="H1318" s="1116">
        <f t="shared" si="298"/>
        <v>0.19938888888888889</v>
      </c>
      <c r="I1318" s="1037"/>
    </row>
    <row r="1319" spans="1:9" ht="17.100000000000001" customHeight="1">
      <c r="A1319" s="1394"/>
      <c r="B1319" s="2154"/>
      <c r="C1319" s="1363" t="s">
        <v>25</v>
      </c>
      <c r="D1319" s="1360" t="s">
        <v>581</v>
      </c>
      <c r="E1319" s="1079">
        <v>3000</v>
      </c>
      <c r="F1319" s="1079">
        <v>3000</v>
      </c>
      <c r="G1319" s="1079">
        <v>889</v>
      </c>
      <c r="H1319" s="1080">
        <f t="shared" si="298"/>
        <v>0.29633333333333334</v>
      </c>
      <c r="I1319" s="1037"/>
    </row>
    <row r="1320" spans="1:9" ht="17.100000000000001" customHeight="1">
      <c r="A1320" s="1394"/>
      <c r="B1320" s="2154"/>
      <c r="C1320" s="1363" t="s">
        <v>608</v>
      </c>
      <c r="D1320" s="1360" t="s">
        <v>609</v>
      </c>
      <c r="E1320" s="1079">
        <v>15000</v>
      </c>
      <c r="F1320" s="1079">
        <v>15000</v>
      </c>
      <c r="G1320" s="1079">
        <v>2700</v>
      </c>
      <c r="H1320" s="1080">
        <f t="shared" si="298"/>
        <v>0.18</v>
      </c>
      <c r="I1320" s="1037"/>
    </row>
    <row r="1321" spans="1:9" ht="17.100000000000001" customHeight="1">
      <c r="A1321" s="1394"/>
      <c r="B1321" s="2154"/>
      <c r="C1321" s="1363"/>
      <c r="D1321" s="1364"/>
      <c r="E1321" s="1079"/>
      <c r="F1321" s="1079"/>
      <c r="G1321" s="1079"/>
      <c r="H1321" s="1080"/>
      <c r="I1321" s="1037"/>
    </row>
    <row r="1322" spans="1:9" ht="17.100000000000001" customHeight="1">
      <c r="A1322" s="1394"/>
      <c r="B1322" s="2154"/>
      <c r="C1322" s="2232" t="s">
        <v>616</v>
      </c>
      <c r="D1322" s="2232"/>
      <c r="E1322" s="1079">
        <f>E1323</f>
        <v>0</v>
      </c>
      <c r="F1322" s="1079">
        <f t="shared" ref="F1322:G1322" si="301">F1323</f>
        <v>8738</v>
      </c>
      <c r="G1322" s="1079">
        <f t="shared" si="301"/>
        <v>8737</v>
      </c>
      <c r="H1322" s="1080">
        <f t="shared" si="298"/>
        <v>0.99988555733577478</v>
      </c>
      <c r="I1322" s="1037"/>
    </row>
    <row r="1323" spans="1:9" ht="17.100000000000001" customHeight="1">
      <c r="A1323" s="1394"/>
      <c r="B1323" s="2154"/>
      <c r="C1323" s="1359" t="s">
        <v>869</v>
      </c>
      <c r="D1323" s="1360" t="s">
        <v>870</v>
      </c>
      <c r="E1323" s="1079">
        <v>0</v>
      </c>
      <c r="F1323" s="1079">
        <v>8738</v>
      </c>
      <c r="G1323" s="1079">
        <v>8737</v>
      </c>
      <c r="H1323" s="1080">
        <f t="shared" si="298"/>
        <v>0.99988555733577478</v>
      </c>
    </row>
    <row r="1324" spans="1:9" ht="17.100000000000001" customHeight="1">
      <c r="A1324" s="1394"/>
      <c r="B1324" s="2154"/>
      <c r="C1324" s="1363"/>
      <c r="D1324" s="1364"/>
      <c r="E1324" s="1079"/>
      <c r="F1324" s="1079"/>
      <c r="G1324" s="1079"/>
      <c r="H1324" s="1080"/>
    </row>
    <row r="1325" spans="1:9" ht="17.100000000000001" customHeight="1">
      <c r="A1325" s="1394"/>
      <c r="B1325" s="2154"/>
      <c r="C1325" s="2219" t="s">
        <v>779</v>
      </c>
      <c r="D1325" s="2219"/>
      <c r="E1325" s="1079">
        <f t="shared" ref="E1325:G1325" si="302">E1326</f>
        <v>200000</v>
      </c>
      <c r="F1325" s="1079">
        <f t="shared" si="302"/>
        <v>200000</v>
      </c>
      <c r="G1325" s="1079">
        <f t="shared" si="302"/>
        <v>90000</v>
      </c>
      <c r="H1325" s="1080">
        <f t="shared" si="298"/>
        <v>0.45</v>
      </c>
    </row>
    <row r="1326" spans="1:9" ht="17.100000000000001" customHeight="1" thickBot="1">
      <c r="A1326" s="1394"/>
      <c r="B1326" s="2156"/>
      <c r="C1326" s="1513" t="s">
        <v>871</v>
      </c>
      <c r="D1326" s="1383" t="s">
        <v>872</v>
      </c>
      <c r="E1326" s="1089">
        <v>200000</v>
      </c>
      <c r="F1326" s="1089">
        <v>200000</v>
      </c>
      <c r="G1326" s="1089">
        <v>90000</v>
      </c>
      <c r="H1326" s="1090">
        <f t="shared" si="298"/>
        <v>0.45</v>
      </c>
    </row>
    <row r="1327" spans="1:9" ht="17.100000000000001" customHeight="1" thickBot="1">
      <c r="A1327" s="1394"/>
      <c r="B1327" s="1144" t="s">
        <v>873</v>
      </c>
      <c r="C1327" s="1145"/>
      <c r="D1327" s="1146" t="s">
        <v>11</v>
      </c>
      <c r="E1327" s="1147">
        <f>E1328+E1337</f>
        <v>150000</v>
      </c>
      <c r="F1327" s="1147">
        <f t="shared" ref="F1327:G1327" si="303">F1328+F1337</f>
        <v>1650000</v>
      </c>
      <c r="G1327" s="1147">
        <f t="shared" si="303"/>
        <v>1299974</v>
      </c>
      <c r="H1327" s="1148">
        <f t="shared" si="298"/>
        <v>0.78786303030303029</v>
      </c>
    </row>
    <row r="1328" spans="1:9" ht="17.100000000000001" customHeight="1">
      <c r="A1328" s="1394"/>
      <c r="B1328" s="2154"/>
      <c r="C1328" s="2112" t="s">
        <v>560</v>
      </c>
      <c r="D1328" s="2112"/>
      <c r="E1328" s="1063">
        <f>E1329+E1333</f>
        <v>150000</v>
      </c>
      <c r="F1328" s="1063">
        <f t="shared" ref="F1328:G1328" si="304">F1329+F1333</f>
        <v>150000</v>
      </c>
      <c r="G1328" s="1063">
        <f t="shared" si="304"/>
        <v>150000</v>
      </c>
      <c r="H1328" s="1064">
        <f t="shared" si="298"/>
        <v>1</v>
      </c>
    </row>
    <row r="1329" spans="1:8" ht="17.100000000000001" customHeight="1">
      <c r="A1329" s="1394"/>
      <c r="B1329" s="2154"/>
      <c r="C1329" s="2224" t="s">
        <v>561</v>
      </c>
      <c r="D1329" s="2224"/>
      <c r="E1329" s="1079">
        <f t="shared" ref="E1329:G1330" si="305">E1330</f>
        <v>150000</v>
      </c>
      <c r="F1329" s="1079">
        <f t="shared" si="305"/>
        <v>0</v>
      </c>
      <c r="G1329" s="1079">
        <f t="shared" si="305"/>
        <v>0</v>
      </c>
      <c r="H1329" s="1080"/>
    </row>
    <row r="1330" spans="1:8" ht="17.100000000000001" customHeight="1">
      <c r="A1330" s="1394"/>
      <c r="B1330" s="2154"/>
      <c r="C1330" s="2225" t="s">
        <v>570</v>
      </c>
      <c r="D1330" s="2225"/>
      <c r="E1330" s="1115">
        <f t="shared" si="305"/>
        <v>150000</v>
      </c>
      <c r="F1330" s="1115">
        <f t="shared" si="305"/>
        <v>0</v>
      </c>
      <c r="G1330" s="1115">
        <f t="shared" si="305"/>
        <v>0</v>
      </c>
      <c r="H1330" s="1116"/>
    </row>
    <row r="1331" spans="1:8" ht="17.100000000000001" customHeight="1">
      <c r="A1331" s="1394"/>
      <c r="B1331" s="2154"/>
      <c r="C1331" s="1367" t="s">
        <v>25</v>
      </c>
      <c r="D1331" s="1368" t="s">
        <v>581</v>
      </c>
      <c r="E1331" s="1369">
        <v>150000</v>
      </c>
      <c r="F1331" s="1369">
        <v>0</v>
      </c>
      <c r="G1331" s="1369">
        <v>0</v>
      </c>
      <c r="H1331" s="1370"/>
    </row>
    <row r="1332" spans="1:8" ht="17.100000000000001" customHeight="1">
      <c r="A1332" s="1394"/>
      <c r="B1332" s="1514"/>
      <c r="C1332" s="2230"/>
      <c r="D1332" s="2231"/>
      <c r="E1332" s="1369"/>
      <c r="F1332" s="1369"/>
      <c r="G1332" s="1369"/>
      <c r="H1332" s="1370"/>
    </row>
    <row r="1333" spans="1:8" ht="17.100000000000001" customHeight="1">
      <c r="A1333" s="1394"/>
      <c r="B1333" s="1514"/>
      <c r="C1333" s="2232" t="s">
        <v>874</v>
      </c>
      <c r="D1333" s="2224"/>
      <c r="E1333" s="1515">
        <f>E1334+E1335</f>
        <v>0</v>
      </c>
      <c r="F1333" s="1515">
        <f t="shared" ref="F1333:G1333" si="306">F1334+F1335</f>
        <v>150000</v>
      </c>
      <c r="G1333" s="1515">
        <f t="shared" si="306"/>
        <v>150000</v>
      </c>
      <c r="H1333" s="1516">
        <f t="shared" si="298"/>
        <v>1</v>
      </c>
    </row>
    <row r="1334" spans="1:8" ht="29.25" customHeight="1">
      <c r="A1334" s="1394"/>
      <c r="B1334" s="1514"/>
      <c r="C1334" s="1517" t="s">
        <v>875</v>
      </c>
      <c r="D1334" s="1518" t="s">
        <v>876</v>
      </c>
      <c r="E1334" s="1474">
        <v>0</v>
      </c>
      <c r="F1334" s="1474">
        <v>3000</v>
      </c>
      <c r="G1334" s="1474">
        <v>3000</v>
      </c>
      <c r="H1334" s="1475">
        <f t="shared" si="298"/>
        <v>1</v>
      </c>
    </row>
    <row r="1335" spans="1:8" ht="28.5" customHeight="1">
      <c r="A1335" s="1394"/>
      <c r="B1335" s="1514"/>
      <c r="C1335" s="1519" t="s">
        <v>877</v>
      </c>
      <c r="D1335" s="1520" t="s">
        <v>878</v>
      </c>
      <c r="E1335" s="1521">
        <v>0</v>
      </c>
      <c r="F1335" s="1521">
        <v>147000</v>
      </c>
      <c r="G1335" s="1521">
        <v>147000</v>
      </c>
      <c r="H1335" s="1522">
        <f t="shared" si="298"/>
        <v>1</v>
      </c>
    </row>
    <row r="1336" spans="1:8" ht="13.5" customHeight="1">
      <c r="A1336" s="1394"/>
      <c r="B1336" s="1514"/>
      <c r="C1336" s="1523"/>
      <c r="D1336" s="1520"/>
      <c r="E1336" s="1474"/>
      <c r="F1336" s="1474"/>
      <c r="G1336" s="1474"/>
      <c r="H1336" s="1475"/>
    </row>
    <row r="1337" spans="1:8" ht="15" customHeight="1">
      <c r="A1337" s="1394"/>
      <c r="B1337" s="1514"/>
      <c r="C1337" s="2217" t="s">
        <v>605</v>
      </c>
      <c r="D1337" s="2218"/>
      <c r="E1337" s="1524">
        <f>SUM(E1338)</f>
        <v>0</v>
      </c>
      <c r="F1337" s="1524">
        <f t="shared" ref="F1337:G1337" si="307">SUM(F1338)</f>
        <v>1500000</v>
      </c>
      <c r="G1337" s="1524">
        <f t="shared" si="307"/>
        <v>1149974</v>
      </c>
      <c r="H1337" s="1525">
        <f t="shared" si="298"/>
        <v>0.76664933333333329</v>
      </c>
    </row>
    <row r="1338" spans="1:8" ht="17.25" customHeight="1">
      <c r="A1338" s="1394"/>
      <c r="B1338" s="1514"/>
      <c r="C1338" s="2219" t="s">
        <v>606</v>
      </c>
      <c r="D1338" s="2220"/>
      <c r="E1338" s="1515">
        <f>E1339+E1340</f>
        <v>0</v>
      </c>
      <c r="F1338" s="1515">
        <f t="shared" ref="F1338:G1338" si="308">F1339+F1340</f>
        <v>1500000</v>
      </c>
      <c r="G1338" s="1515">
        <f t="shared" si="308"/>
        <v>1149974</v>
      </c>
      <c r="H1338" s="1516">
        <f t="shared" si="298"/>
        <v>0.76664933333333329</v>
      </c>
    </row>
    <row r="1339" spans="1:8" ht="33.75" customHeight="1">
      <c r="A1339" s="1394"/>
      <c r="B1339" s="1514"/>
      <c r="C1339" s="1363" t="s">
        <v>188</v>
      </c>
      <c r="D1339" s="1526" t="s">
        <v>879</v>
      </c>
      <c r="E1339" s="1515">
        <v>0</v>
      </c>
      <c r="F1339" s="1515">
        <v>1300000</v>
      </c>
      <c r="G1339" s="1515">
        <v>950000</v>
      </c>
      <c r="H1339" s="1516">
        <f t="shared" si="298"/>
        <v>0.73076923076923073</v>
      </c>
    </row>
    <row r="1340" spans="1:8" ht="42" customHeight="1" thickBot="1">
      <c r="A1340" s="1394"/>
      <c r="B1340" s="1514"/>
      <c r="C1340" s="1266" t="s">
        <v>194</v>
      </c>
      <c r="D1340" s="1527" t="s">
        <v>787</v>
      </c>
      <c r="E1340" s="1483">
        <v>0</v>
      </c>
      <c r="F1340" s="1483">
        <v>200000</v>
      </c>
      <c r="G1340" s="1483">
        <v>199974</v>
      </c>
      <c r="H1340" s="1485">
        <f t="shared" si="298"/>
        <v>0.99987000000000004</v>
      </c>
    </row>
    <row r="1341" spans="1:8" ht="17.100000000000001" customHeight="1" thickBot="1">
      <c r="A1341" s="1051" t="s">
        <v>119</v>
      </c>
      <c r="B1341" s="1052"/>
      <c r="C1341" s="1053"/>
      <c r="D1341" s="1054" t="s">
        <v>880</v>
      </c>
      <c r="E1341" s="1055">
        <f>E1342+E1358+E1362+E1370+E1374+E1382+E1394+E1398+E1407+E1412+E1390</f>
        <v>36189678</v>
      </c>
      <c r="F1341" s="1055">
        <f t="shared" ref="F1341:G1341" si="309">F1342+F1358+F1362+F1370+F1374+F1382+F1394+F1398+F1407+F1412+F1390</f>
        <v>61111171</v>
      </c>
      <c r="G1341" s="1055">
        <f t="shared" si="309"/>
        <v>45589290</v>
      </c>
      <c r="H1341" s="1056">
        <f t="shared" si="298"/>
        <v>0.74600583255064778</v>
      </c>
    </row>
    <row r="1342" spans="1:8" ht="17.100000000000001" customHeight="1" thickBot="1">
      <c r="A1342" s="1394"/>
      <c r="B1342" s="1144" t="s">
        <v>881</v>
      </c>
      <c r="C1342" s="1145"/>
      <c r="D1342" s="1146" t="s">
        <v>482</v>
      </c>
      <c r="E1342" s="1147">
        <f>E1343+E1353</f>
        <v>30780632</v>
      </c>
      <c r="F1342" s="1147">
        <f>F1343+F1353</f>
        <v>40061171</v>
      </c>
      <c r="G1342" s="1147">
        <f>G1343+G1353</f>
        <v>27699654</v>
      </c>
      <c r="H1342" s="1148">
        <f t="shared" si="298"/>
        <v>0.69143395733489665</v>
      </c>
    </row>
    <row r="1343" spans="1:8" ht="17.100000000000001" customHeight="1">
      <c r="A1343" s="1394"/>
      <c r="B1343" s="2221"/>
      <c r="C1343" s="2222" t="s">
        <v>560</v>
      </c>
      <c r="D1343" s="2223"/>
      <c r="E1343" s="1511">
        <f>E1344+E1348</f>
        <v>145000</v>
      </c>
      <c r="F1343" s="1511">
        <f t="shared" ref="F1343:G1343" si="310">F1344+F1348</f>
        <v>2939187</v>
      </c>
      <c r="G1343" s="1511">
        <f t="shared" si="310"/>
        <v>2903673</v>
      </c>
      <c r="H1343" s="1512">
        <f t="shared" si="298"/>
        <v>0.98791706686236702</v>
      </c>
    </row>
    <row r="1344" spans="1:8" ht="17.100000000000001" customHeight="1">
      <c r="A1344" s="1394"/>
      <c r="B1344" s="2221"/>
      <c r="C1344" s="2224" t="s">
        <v>561</v>
      </c>
      <c r="D1344" s="2224"/>
      <c r="E1344" s="1483">
        <f>E1345</f>
        <v>0</v>
      </c>
      <c r="F1344" s="1483">
        <f t="shared" ref="F1344:G1345" si="311">F1345</f>
        <v>426832</v>
      </c>
      <c r="G1344" s="1483">
        <f t="shared" si="311"/>
        <v>426831</v>
      </c>
      <c r="H1344" s="1528">
        <f>G1344/F1344</f>
        <v>0.99999765715785138</v>
      </c>
    </row>
    <row r="1345" spans="1:8" ht="15.75" customHeight="1">
      <c r="A1345" s="1394"/>
      <c r="B1345" s="2221"/>
      <c r="C1345" s="2225" t="s">
        <v>570</v>
      </c>
      <c r="D1345" s="2225"/>
      <c r="E1345" s="1115">
        <f>E1346</f>
        <v>0</v>
      </c>
      <c r="F1345" s="1115">
        <f t="shared" si="311"/>
        <v>426832</v>
      </c>
      <c r="G1345" s="1115">
        <f t="shared" si="311"/>
        <v>426831</v>
      </c>
      <c r="H1345" s="1116">
        <f>G1345/F1345</f>
        <v>0.99999765715785138</v>
      </c>
    </row>
    <row r="1346" spans="1:8" ht="29.25" customHeight="1">
      <c r="A1346" s="1394"/>
      <c r="B1346" s="2221"/>
      <c r="C1346" s="1344" t="s">
        <v>882</v>
      </c>
      <c r="D1346" s="1529" t="s">
        <v>883</v>
      </c>
      <c r="E1346" s="1079">
        <v>0</v>
      </c>
      <c r="F1346" s="1079">
        <v>426832</v>
      </c>
      <c r="G1346" s="1079">
        <v>426831</v>
      </c>
      <c r="H1346" s="1080">
        <f t="shared" si="298"/>
        <v>0.99999765715785138</v>
      </c>
    </row>
    <row r="1347" spans="1:8" ht="17.25" customHeight="1">
      <c r="A1347" s="1394"/>
      <c r="B1347" s="2221"/>
      <c r="C1347" s="1266"/>
      <c r="D1347" s="1272"/>
      <c r="E1347" s="1483"/>
      <c r="F1347" s="1483"/>
      <c r="G1347" s="1483"/>
      <c r="H1347" s="1485"/>
    </row>
    <row r="1348" spans="1:8" ht="17.100000000000001" customHeight="1">
      <c r="A1348" s="1394"/>
      <c r="B1348" s="2221"/>
      <c r="C1348" s="2226" t="s">
        <v>874</v>
      </c>
      <c r="D1348" s="2227"/>
      <c r="E1348" s="1079">
        <f>E1349+E1350+E1351</f>
        <v>145000</v>
      </c>
      <c r="F1348" s="1079">
        <f t="shared" ref="F1348:G1348" si="312">F1349+F1350+F1351</f>
        <v>2512355</v>
      </c>
      <c r="G1348" s="1079">
        <f t="shared" si="312"/>
        <v>2476842</v>
      </c>
      <c r="H1348" s="1507">
        <f t="shared" si="298"/>
        <v>0.98586465686576941</v>
      </c>
    </row>
    <row r="1349" spans="1:8" ht="50.25" customHeight="1">
      <c r="A1349" s="1394"/>
      <c r="B1349" s="2221"/>
      <c r="C1349" s="1344" t="s">
        <v>508</v>
      </c>
      <c r="D1349" s="1518" t="s">
        <v>618</v>
      </c>
      <c r="E1349" s="1079">
        <v>0</v>
      </c>
      <c r="F1349" s="1079">
        <v>39</v>
      </c>
      <c r="G1349" s="1079">
        <v>38</v>
      </c>
      <c r="H1349" s="1080">
        <f t="shared" si="298"/>
        <v>0.97435897435897434</v>
      </c>
    </row>
    <row r="1350" spans="1:8" ht="31.5" customHeight="1">
      <c r="A1350" s="1394"/>
      <c r="B1350" s="2221"/>
      <c r="C1350" s="1517" t="s">
        <v>884</v>
      </c>
      <c r="D1350" s="1518" t="s">
        <v>885</v>
      </c>
      <c r="E1350" s="1079">
        <v>145000</v>
      </c>
      <c r="F1350" s="1079">
        <v>2511716</v>
      </c>
      <c r="G1350" s="1079">
        <v>2476204</v>
      </c>
      <c r="H1350" s="1080">
        <f t="shared" si="298"/>
        <v>0.98586145885920229</v>
      </c>
    </row>
    <row r="1351" spans="1:8" ht="17.25" customHeight="1">
      <c r="A1351" s="1394"/>
      <c r="B1351" s="2221"/>
      <c r="C1351" s="1344" t="s">
        <v>476</v>
      </c>
      <c r="D1351" s="1530" t="s">
        <v>613</v>
      </c>
      <c r="E1351" s="1103">
        <v>0</v>
      </c>
      <c r="F1351" s="1103">
        <v>600</v>
      </c>
      <c r="G1351" s="1103">
        <v>600</v>
      </c>
      <c r="H1351" s="1475">
        <f t="shared" si="298"/>
        <v>1</v>
      </c>
    </row>
    <row r="1352" spans="1:8" ht="17.100000000000001" customHeight="1">
      <c r="A1352" s="1394"/>
      <c r="B1352" s="2221"/>
      <c r="C1352" s="1531"/>
      <c r="D1352" s="1531"/>
      <c r="E1352" s="1532"/>
      <c r="F1352" s="1532"/>
      <c r="G1352" s="1532"/>
      <c r="H1352" s="1533"/>
    </row>
    <row r="1353" spans="1:8" ht="17.100000000000001" customHeight="1">
      <c r="A1353" s="1394"/>
      <c r="B1353" s="2221"/>
      <c r="C1353" s="2228" t="s">
        <v>605</v>
      </c>
      <c r="D1353" s="2228"/>
      <c r="E1353" s="1534">
        <f>E1354</f>
        <v>30635632</v>
      </c>
      <c r="F1353" s="1534">
        <f t="shared" ref="F1353:G1353" si="313">F1354</f>
        <v>37121984</v>
      </c>
      <c r="G1353" s="1534">
        <f t="shared" si="313"/>
        <v>24795981</v>
      </c>
      <c r="H1353" s="1535">
        <f t="shared" si="298"/>
        <v>0.6679594765193585</v>
      </c>
    </row>
    <row r="1354" spans="1:8" ht="17.100000000000001" customHeight="1">
      <c r="A1354" s="1394"/>
      <c r="B1354" s="2221"/>
      <c r="C1354" s="2229" t="s">
        <v>606</v>
      </c>
      <c r="D1354" s="2229"/>
      <c r="E1354" s="1474">
        <f>SUM(E1355:E1357)</f>
        <v>30635632</v>
      </c>
      <c r="F1354" s="1474">
        <f t="shared" ref="F1354:G1354" si="314">SUM(F1355:F1357)</f>
        <v>37121984</v>
      </c>
      <c r="G1354" s="1474">
        <f t="shared" si="314"/>
        <v>24795981</v>
      </c>
      <c r="H1354" s="1475">
        <f t="shared" si="298"/>
        <v>0.6679594765193585</v>
      </c>
    </row>
    <row r="1355" spans="1:8" ht="43.5" customHeight="1">
      <c r="A1355" s="1394"/>
      <c r="B1355" s="1532"/>
      <c r="C1355" s="1465" t="s">
        <v>678</v>
      </c>
      <c r="D1355" s="1364" t="s">
        <v>682</v>
      </c>
      <c r="E1355" s="1079">
        <v>7005946</v>
      </c>
      <c r="F1355" s="1079">
        <v>5335864</v>
      </c>
      <c r="G1355" s="1079">
        <v>5206501</v>
      </c>
      <c r="H1355" s="1080">
        <f t="shared" si="298"/>
        <v>0.97575594130585042</v>
      </c>
    </row>
    <row r="1356" spans="1:8" ht="37.5" customHeight="1">
      <c r="A1356" s="1394"/>
      <c r="B1356" s="1532"/>
      <c r="C1356" s="1359" t="s">
        <v>188</v>
      </c>
      <c r="D1356" s="1360" t="s">
        <v>879</v>
      </c>
      <c r="E1356" s="1079">
        <v>23629686</v>
      </c>
      <c r="F1356" s="1079">
        <v>29924296</v>
      </c>
      <c r="G1356" s="1079">
        <v>17727656</v>
      </c>
      <c r="H1356" s="1080">
        <f t="shared" si="298"/>
        <v>0.59241681074134545</v>
      </c>
    </row>
    <row r="1357" spans="1:8" ht="57" customHeight="1" thickBot="1">
      <c r="A1357" s="1394"/>
      <c r="B1357" s="1532"/>
      <c r="C1357" s="1107" t="s">
        <v>477</v>
      </c>
      <c r="D1357" s="1108" t="s">
        <v>612</v>
      </c>
      <c r="E1357" s="1483">
        <v>0</v>
      </c>
      <c r="F1357" s="1483">
        <v>1861824</v>
      </c>
      <c r="G1357" s="1483">
        <v>1861824</v>
      </c>
      <c r="H1357" s="1080">
        <f t="shared" si="298"/>
        <v>1</v>
      </c>
    </row>
    <row r="1358" spans="1:8" ht="15" customHeight="1" thickBot="1">
      <c r="A1358" s="1394"/>
      <c r="B1358" s="1144" t="s">
        <v>886</v>
      </c>
      <c r="C1358" s="1145"/>
      <c r="D1358" s="1146" t="s">
        <v>887</v>
      </c>
      <c r="E1358" s="1147">
        <f>E1359</f>
        <v>0</v>
      </c>
      <c r="F1358" s="1147">
        <f t="shared" ref="F1358:G1360" si="315">F1359</f>
        <v>7000000</v>
      </c>
      <c r="G1358" s="1147">
        <f t="shared" si="315"/>
        <v>4250000</v>
      </c>
      <c r="H1358" s="1148">
        <f t="shared" si="298"/>
        <v>0.6071428571428571</v>
      </c>
    </row>
    <row r="1359" spans="1:8" ht="18.75" customHeight="1">
      <c r="A1359" s="1394"/>
      <c r="B1359" s="1532"/>
      <c r="C1359" s="2213" t="s">
        <v>605</v>
      </c>
      <c r="D1359" s="2214"/>
      <c r="E1359" s="1079">
        <f>E1360</f>
        <v>0</v>
      </c>
      <c r="F1359" s="1079">
        <f t="shared" si="315"/>
        <v>7000000</v>
      </c>
      <c r="G1359" s="1079">
        <f t="shared" si="315"/>
        <v>4250000</v>
      </c>
      <c r="H1359" s="1080">
        <f t="shared" si="298"/>
        <v>0.6071428571428571</v>
      </c>
    </row>
    <row r="1360" spans="1:8" ht="15.75" customHeight="1">
      <c r="A1360" s="1394"/>
      <c r="B1360" s="1532"/>
      <c r="C1360" s="2215" t="s">
        <v>712</v>
      </c>
      <c r="D1360" s="2216"/>
      <c r="E1360" s="1079">
        <f>E1361</f>
        <v>0</v>
      </c>
      <c r="F1360" s="1079">
        <f t="shared" si="315"/>
        <v>7000000</v>
      </c>
      <c r="G1360" s="1079">
        <f t="shared" si="315"/>
        <v>4250000</v>
      </c>
      <c r="H1360" s="1080">
        <f t="shared" si="298"/>
        <v>0.6071428571428571</v>
      </c>
    </row>
    <row r="1361" spans="1:8" ht="39.75" customHeight="1" thickBot="1">
      <c r="A1361" s="1394"/>
      <c r="B1361" s="1532"/>
      <c r="C1361" s="1134" t="s">
        <v>713</v>
      </c>
      <c r="D1361" s="1536" t="s">
        <v>714</v>
      </c>
      <c r="E1361" s="1079">
        <v>0</v>
      </c>
      <c r="F1361" s="1079">
        <v>7000000</v>
      </c>
      <c r="G1361" s="1079">
        <v>4250000</v>
      </c>
      <c r="H1361" s="1080">
        <f t="shared" si="298"/>
        <v>0.6071428571428571</v>
      </c>
    </row>
    <row r="1362" spans="1:8" ht="15" customHeight="1" thickBot="1">
      <c r="A1362" s="1394"/>
      <c r="B1362" s="1537" t="s">
        <v>888</v>
      </c>
      <c r="C1362" s="1538"/>
      <c r="D1362" s="1539" t="s">
        <v>889</v>
      </c>
      <c r="E1362" s="1155">
        <f t="shared" ref="E1362:G1362" si="316">E1367+E1363</f>
        <v>1266796</v>
      </c>
      <c r="F1362" s="1155">
        <f t="shared" si="316"/>
        <v>2140796</v>
      </c>
      <c r="G1362" s="1155">
        <f t="shared" si="316"/>
        <v>2125409</v>
      </c>
      <c r="H1362" s="1156">
        <f t="shared" si="298"/>
        <v>0.99281248657041588</v>
      </c>
    </row>
    <row r="1363" spans="1:8" ht="15">
      <c r="A1363" s="1394"/>
      <c r="B1363" s="2154"/>
      <c r="C1363" s="2210" t="s">
        <v>560</v>
      </c>
      <c r="D1363" s="2211"/>
      <c r="E1363" s="1253">
        <f t="shared" ref="E1363:G1364" si="317">E1364</f>
        <v>35000</v>
      </c>
      <c r="F1363" s="1253">
        <f t="shared" si="317"/>
        <v>35000</v>
      </c>
      <c r="G1363" s="1253">
        <f t="shared" si="317"/>
        <v>32734</v>
      </c>
      <c r="H1363" s="1254">
        <f t="shared" si="298"/>
        <v>0.9352571428571429</v>
      </c>
    </row>
    <row r="1364" spans="1:8" ht="15">
      <c r="A1364" s="1394"/>
      <c r="B1364" s="2154"/>
      <c r="C1364" s="2212" t="s">
        <v>874</v>
      </c>
      <c r="D1364" s="2177"/>
      <c r="E1364" s="1239">
        <f t="shared" si="317"/>
        <v>35000</v>
      </c>
      <c r="F1364" s="1239">
        <f t="shared" si="317"/>
        <v>35000</v>
      </c>
      <c r="G1364" s="1239">
        <f t="shared" si="317"/>
        <v>32734</v>
      </c>
      <c r="H1364" s="1240">
        <f t="shared" si="298"/>
        <v>0.9352571428571429</v>
      </c>
    </row>
    <row r="1365" spans="1:8" ht="28.5" customHeight="1">
      <c r="A1365" s="1394"/>
      <c r="B1365" s="2154"/>
      <c r="C1365" s="1540" t="s">
        <v>884</v>
      </c>
      <c r="D1365" s="1541" t="s">
        <v>885</v>
      </c>
      <c r="E1365" s="1239">
        <v>35000</v>
      </c>
      <c r="F1365" s="1239">
        <v>35000</v>
      </c>
      <c r="G1365" s="1239">
        <v>32734</v>
      </c>
      <c r="H1365" s="1240">
        <f t="shared" si="298"/>
        <v>0.9352571428571429</v>
      </c>
    </row>
    <row r="1366" spans="1:8" ht="15">
      <c r="A1366" s="1394"/>
      <c r="B1366" s="2154"/>
      <c r="C1366" s="1542"/>
      <c r="D1366" s="1117"/>
      <c r="E1366" s="1447"/>
      <c r="F1366" s="1447"/>
      <c r="G1366" s="1447"/>
      <c r="H1366" s="1448"/>
    </row>
    <row r="1367" spans="1:8" ht="12.75" customHeight="1">
      <c r="A1367" s="1394"/>
      <c r="B1367" s="2154"/>
      <c r="C1367" s="2159" t="s">
        <v>605</v>
      </c>
      <c r="D1367" s="2159"/>
      <c r="E1367" s="1083">
        <f t="shared" ref="E1367:G1368" si="318">E1368</f>
        <v>1231796</v>
      </c>
      <c r="F1367" s="1083">
        <f t="shared" si="318"/>
        <v>2105796</v>
      </c>
      <c r="G1367" s="1083">
        <f t="shared" si="318"/>
        <v>2092675</v>
      </c>
      <c r="H1367" s="1084">
        <f t="shared" si="298"/>
        <v>0.99376910204027358</v>
      </c>
    </row>
    <row r="1368" spans="1:8" ht="12.75" customHeight="1">
      <c r="A1368" s="1394"/>
      <c r="B1368" s="2154"/>
      <c r="C1368" s="2198" t="s">
        <v>606</v>
      </c>
      <c r="D1368" s="2198"/>
      <c r="E1368" s="1543">
        <f t="shared" si="318"/>
        <v>1231796</v>
      </c>
      <c r="F1368" s="1543">
        <f t="shared" si="318"/>
        <v>2105796</v>
      </c>
      <c r="G1368" s="1543">
        <f t="shared" si="318"/>
        <v>2092675</v>
      </c>
      <c r="H1368" s="1544">
        <f t="shared" si="298"/>
        <v>0.99376910204027358</v>
      </c>
    </row>
    <row r="1369" spans="1:8" ht="39" thickBot="1">
      <c r="A1369" s="1394"/>
      <c r="B1369" s="2154"/>
      <c r="C1369" s="1251" t="s">
        <v>188</v>
      </c>
      <c r="D1369" s="1252" t="s">
        <v>879</v>
      </c>
      <c r="E1369" s="1089">
        <v>1231796</v>
      </c>
      <c r="F1369" s="1089">
        <v>2105796</v>
      </c>
      <c r="G1369" s="1089">
        <v>2092675</v>
      </c>
      <c r="H1369" s="1090">
        <f t="shared" si="298"/>
        <v>0.99376910204027358</v>
      </c>
    </row>
    <row r="1370" spans="1:8" ht="17.100000000000001" customHeight="1" thickBot="1">
      <c r="A1370" s="1394"/>
      <c r="B1370" s="1339" t="s">
        <v>890</v>
      </c>
      <c r="C1370" s="1145"/>
      <c r="D1370" s="1146" t="s">
        <v>486</v>
      </c>
      <c r="E1370" s="1147">
        <f t="shared" ref="E1370:G1371" si="319">SUM(E1371)</f>
        <v>800000</v>
      </c>
      <c r="F1370" s="1147">
        <f t="shared" si="319"/>
        <v>1389450</v>
      </c>
      <c r="G1370" s="1147">
        <f t="shared" si="319"/>
        <v>1227071</v>
      </c>
      <c r="H1370" s="1148">
        <f t="shared" si="298"/>
        <v>0.88313433372917338</v>
      </c>
    </row>
    <row r="1371" spans="1:8">
      <c r="A1371" s="1394"/>
      <c r="B1371" s="2154"/>
      <c r="C1371" s="2209" t="s">
        <v>605</v>
      </c>
      <c r="D1371" s="2209"/>
      <c r="E1371" s="1103">
        <f t="shared" si="319"/>
        <v>800000</v>
      </c>
      <c r="F1371" s="1103">
        <f t="shared" si="319"/>
        <v>1389450</v>
      </c>
      <c r="G1371" s="1103">
        <f t="shared" si="319"/>
        <v>1227071</v>
      </c>
      <c r="H1371" s="1104">
        <f t="shared" si="298"/>
        <v>0.88313433372917338</v>
      </c>
    </row>
    <row r="1372" spans="1:8">
      <c r="A1372" s="1394"/>
      <c r="B1372" s="2154"/>
      <c r="C1372" s="2161" t="s">
        <v>606</v>
      </c>
      <c r="D1372" s="2161"/>
      <c r="E1372" s="1079">
        <f t="shared" ref="E1372:G1372" si="320">E1373</f>
        <v>800000</v>
      </c>
      <c r="F1372" s="1079">
        <f t="shared" si="320"/>
        <v>1389450</v>
      </c>
      <c r="G1372" s="1079">
        <f t="shared" si="320"/>
        <v>1227071</v>
      </c>
      <c r="H1372" s="1080">
        <f t="shared" si="298"/>
        <v>0.88313433372917338</v>
      </c>
    </row>
    <row r="1373" spans="1:8" ht="39" thickBot="1">
      <c r="A1373" s="1394"/>
      <c r="B1373" s="2154"/>
      <c r="C1373" s="1545" t="s">
        <v>188</v>
      </c>
      <c r="D1373" s="1546" t="s">
        <v>879</v>
      </c>
      <c r="E1373" s="1189">
        <v>800000</v>
      </c>
      <c r="F1373" s="1189">
        <v>1389450</v>
      </c>
      <c r="G1373" s="1189">
        <v>1227071</v>
      </c>
      <c r="H1373" s="1190">
        <f t="shared" si="298"/>
        <v>0.88313433372917338</v>
      </c>
    </row>
    <row r="1374" spans="1:8" ht="13.5" thickBot="1">
      <c r="A1374" s="1394"/>
      <c r="B1374" s="1144" t="s">
        <v>187</v>
      </c>
      <c r="C1374" s="1145"/>
      <c r="D1374" s="1146" t="s">
        <v>487</v>
      </c>
      <c r="E1374" s="1147">
        <f>E1375+E1379</f>
        <v>640000</v>
      </c>
      <c r="F1374" s="1147">
        <f t="shared" ref="F1374:G1374" si="321">F1375+F1379</f>
        <v>4016843</v>
      </c>
      <c r="G1374" s="1147">
        <f t="shared" si="321"/>
        <v>3998051</v>
      </c>
      <c r="H1374" s="1148">
        <f t="shared" si="298"/>
        <v>0.9953216991552819</v>
      </c>
    </row>
    <row r="1375" spans="1:8" ht="15">
      <c r="A1375" s="1394"/>
      <c r="B1375" s="1547"/>
      <c r="C1375" s="2210" t="s">
        <v>560</v>
      </c>
      <c r="D1375" s="2211"/>
      <c r="E1375" s="1253">
        <f>E1376</f>
        <v>0</v>
      </c>
      <c r="F1375" s="1253">
        <f t="shared" ref="F1375:G1376" si="322">F1376</f>
        <v>200000</v>
      </c>
      <c r="G1375" s="1253">
        <f t="shared" si="322"/>
        <v>200000</v>
      </c>
      <c r="H1375" s="1254">
        <f t="shared" si="298"/>
        <v>1</v>
      </c>
    </row>
    <row r="1376" spans="1:8" ht="15">
      <c r="A1376" s="1394"/>
      <c r="B1376" s="1547"/>
      <c r="C1376" s="2212" t="s">
        <v>874</v>
      </c>
      <c r="D1376" s="2177"/>
      <c r="E1376" s="1239">
        <f>E1377</f>
        <v>0</v>
      </c>
      <c r="F1376" s="1239">
        <f t="shared" si="322"/>
        <v>200000</v>
      </c>
      <c r="G1376" s="1239">
        <f t="shared" si="322"/>
        <v>200000</v>
      </c>
      <c r="H1376" s="1240">
        <f t="shared" si="298"/>
        <v>1</v>
      </c>
    </row>
    <row r="1377" spans="1:8" ht="28.5" customHeight="1">
      <c r="A1377" s="1394"/>
      <c r="B1377" s="1547"/>
      <c r="C1377" s="1540" t="s">
        <v>884</v>
      </c>
      <c r="D1377" s="1541" t="s">
        <v>885</v>
      </c>
      <c r="E1377" s="1239">
        <v>0</v>
      </c>
      <c r="F1377" s="1239">
        <v>200000</v>
      </c>
      <c r="G1377" s="1239">
        <v>200000</v>
      </c>
      <c r="H1377" s="1240">
        <f t="shared" si="298"/>
        <v>1</v>
      </c>
    </row>
    <row r="1378" spans="1:8" ht="15">
      <c r="A1378" s="1394"/>
      <c r="B1378" s="1547"/>
      <c r="C1378" s="2210"/>
      <c r="D1378" s="2211"/>
      <c r="E1378" s="1253"/>
      <c r="F1378" s="1253"/>
      <c r="G1378" s="1253"/>
      <c r="H1378" s="1254"/>
    </row>
    <row r="1379" spans="1:8">
      <c r="A1379" s="1394"/>
      <c r="B1379" s="2208"/>
      <c r="C1379" s="2148" t="s">
        <v>605</v>
      </c>
      <c r="D1379" s="2148"/>
      <c r="E1379" s="1063">
        <f t="shared" ref="E1379:G1380" si="323">E1380</f>
        <v>640000</v>
      </c>
      <c r="F1379" s="1063">
        <f t="shared" si="323"/>
        <v>3816843</v>
      </c>
      <c r="G1379" s="1063">
        <f t="shared" si="323"/>
        <v>3798051</v>
      </c>
      <c r="H1379" s="1064">
        <f t="shared" si="298"/>
        <v>0.99507655934498751</v>
      </c>
    </row>
    <row r="1380" spans="1:8">
      <c r="A1380" s="1394"/>
      <c r="B1380" s="2208"/>
      <c r="C1380" s="2161" t="s">
        <v>710</v>
      </c>
      <c r="D1380" s="2161"/>
      <c r="E1380" s="1079">
        <f t="shared" si="323"/>
        <v>640000</v>
      </c>
      <c r="F1380" s="1079">
        <f t="shared" si="323"/>
        <v>3816843</v>
      </c>
      <c r="G1380" s="1079">
        <f t="shared" si="323"/>
        <v>3798051</v>
      </c>
      <c r="H1380" s="1080">
        <f t="shared" si="298"/>
        <v>0.99507655934498751</v>
      </c>
    </row>
    <row r="1381" spans="1:8" ht="39" thickBot="1">
      <c r="A1381" s="1394"/>
      <c r="B1381" s="2208"/>
      <c r="C1381" s="1548" t="s">
        <v>188</v>
      </c>
      <c r="D1381" s="1549" t="s">
        <v>879</v>
      </c>
      <c r="E1381" s="1550">
        <v>640000</v>
      </c>
      <c r="F1381" s="1550">
        <v>3816843</v>
      </c>
      <c r="G1381" s="1550">
        <v>3798051</v>
      </c>
      <c r="H1381" s="1551">
        <f t="shared" si="298"/>
        <v>0.99507655934498751</v>
      </c>
    </row>
    <row r="1382" spans="1:8" ht="17.100000000000001" customHeight="1" thickBot="1">
      <c r="A1382" s="1394"/>
      <c r="B1382" s="1144" t="s">
        <v>891</v>
      </c>
      <c r="C1382" s="1153"/>
      <c r="D1382" s="1154" t="s">
        <v>892</v>
      </c>
      <c r="E1382" s="1155">
        <f>SUM(E1383)</f>
        <v>2297550</v>
      </c>
      <c r="F1382" s="1155">
        <f t="shared" ref="F1382:G1382" si="324">SUM(F1383)</f>
        <v>2791950</v>
      </c>
      <c r="G1382" s="1155">
        <f t="shared" si="324"/>
        <v>2791864</v>
      </c>
      <c r="H1382" s="1156">
        <f t="shared" si="298"/>
        <v>0.99996919715610955</v>
      </c>
    </row>
    <row r="1383" spans="1:8" ht="17.100000000000001" customHeight="1">
      <c r="A1383" s="1394"/>
      <c r="B1383" s="1395"/>
      <c r="C1383" s="2112" t="s">
        <v>560</v>
      </c>
      <c r="D1383" s="2112"/>
      <c r="E1383" s="1063">
        <f t="shared" ref="E1383:G1383" si="325">E1384+E1388</f>
        <v>2297550</v>
      </c>
      <c r="F1383" s="1063">
        <f t="shared" si="325"/>
        <v>2791950</v>
      </c>
      <c r="G1383" s="1063">
        <f t="shared" si="325"/>
        <v>2791864</v>
      </c>
      <c r="H1383" s="1064">
        <f t="shared" si="298"/>
        <v>0.99996919715610955</v>
      </c>
    </row>
    <row r="1384" spans="1:8" ht="17.100000000000001" customHeight="1">
      <c r="A1384" s="1394"/>
      <c r="B1384" s="1395"/>
      <c r="C1384" s="2158" t="s">
        <v>561</v>
      </c>
      <c r="D1384" s="2158"/>
      <c r="E1384" s="1079">
        <f t="shared" ref="E1384:G1385" si="326">E1385</f>
        <v>1195000</v>
      </c>
      <c r="F1384" s="1079">
        <f t="shared" si="326"/>
        <v>1511350</v>
      </c>
      <c r="G1384" s="1079">
        <f t="shared" si="326"/>
        <v>1511350</v>
      </c>
      <c r="H1384" s="1080">
        <f t="shared" si="298"/>
        <v>1</v>
      </c>
    </row>
    <row r="1385" spans="1:8" ht="17.100000000000001" customHeight="1">
      <c r="A1385" s="1394"/>
      <c r="B1385" s="2173"/>
      <c r="C1385" s="2175" t="s">
        <v>570</v>
      </c>
      <c r="D1385" s="2175"/>
      <c r="E1385" s="1115">
        <f t="shared" si="326"/>
        <v>1195000</v>
      </c>
      <c r="F1385" s="1115">
        <f t="shared" si="326"/>
        <v>1511350</v>
      </c>
      <c r="G1385" s="1115">
        <f t="shared" si="326"/>
        <v>1511350</v>
      </c>
      <c r="H1385" s="1116">
        <f t="shared" si="298"/>
        <v>1</v>
      </c>
    </row>
    <row r="1386" spans="1:8" ht="17.100000000000001" customHeight="1">
      <c r="A1386" s="1394"/>
      <c r="B1386" s="2173"/>
      <c r="C1386" s="1552" t="s">
        <v>579</v>
      </c>
      <c r="D1386" s="1553" t="s">
        <v>580</v>
      </c>
      <c r="E1386" s="1079">
        <v>1195000</v>
      </c>
      <c r="F1386" s="1079">
        <v>1511350</v>
      </c>
      <c r="G1386" s="1079">
        <v>1511350</v>
      </c>
      <c r="H1386" s="1080">
        <f t="shared" si="298"/>
        <v>1</v>
      </c>
    </row>
    <row r="1387" spans="1:8" ht="17.100000000000001" customHeight="1">
      <c r="A1387" s="1394"/>
      <c r="B1387" s="2173"/>
      <c r="C1387" s="1098"/>
      <c r="D1387" s="1098"/>
      <c r="E1387" s="1440"/>
      <c r="F1387" s="1440"/>
      <c r="G1387" s="1440"/>
      <c r="H1387" s="1441"/>
    </row>
    <row r="1388" spans="1:8" ht="17.100000000000001" customHeight="1">
      <c r="A1388" s="1394"/>
      <c r="B1388" s="2173"/>
      <c r="C1388" s="2161" t="s">
        <v>647</v>
      </c>
      <c r="D1388" s="2161"/>
      <c r="E1388" s="1079">
        <f t="shared" ref="E1388:G1388" si="327">E1389</f>
        <v>1102550</v>
      </c>
      <c r="F1388" s="1079">
        <f t="shared" si="327"/>
        <v>1280600</v>
      </c>
      <c r="G1388" s="1079">
        <f t="shared" si="327"/>
        <v>1280514</v>
      </c>
      <c r="H1388" s="1080">
        <f t="shared" si="298"/>
        <v>0.99993284397938464</v>
      </c>
    </row>
    <row r="1389" spans="1:8" ht="36" customHeight="1" thickBot="1">
      <c r="A1389" s="1394"/>
      <c r="B1389" s="2173"/>
      <c r="C1389" s="1552" t="s">
        <v>884</v>
      </c>
      <c r="D1389" s="1553" t="s">
        <v>885</v>
      </c>
      <c r="E1389" s="1079">
        <v>1102550</v>
      </c>
      <c r="F1389" s="1079">
        <v>1280600</v>
      </c>
      <c r="G1389" s="1079">
        <v>1280514</v>
      </c>
      <c r="H1389" s="1080">
        <f t="shared" si="298"/>
        <v>0.99993284397938464</v>
      </c>
    </row>
    <row r="1390" spans="1:8" ht="17.25" customHeight="1" thickBot="1">
      <c r="A1390" s="1394"/>
      <c r="B1390" s="1144" t="s">
        <v>893</v>
      </c>
      <c r="C1390" s="1145"/>
      <c r="D1390" s="1146" t="s">
        <v>490</v>
      </c>
      <c r="E1390" s="1147">
        <f>SUM(E1391)</f>
        <v>0</v>
      </c>
      <c r="F1390" s="1147">
        <f t="shared" ref="F1390:G1390" si="328">SUM(F1391)</f>
        <v>3173760</v>
      </c>
      <c r="G1390" s="1147">
        <f t="shared" si="328"/>
        <v>3132247</v>
      </c>
      <c r="H1390" s="1148">
        <f t="shared" ref="H1390:H1451" si="329">G1390/F1390</f>
        <v>0.98691993093365593</v>
      </c>
    </row>
    <row r="1391" spans="1:8" ht="17.25" customHeight="1">
      <c r="A1391" s="1394"/>
      <c r="B1391" s="1395"/>
      <c r="C1391" s="2148" t="s">
        <v>605</v>
      </c>
      <c r="D1391" s="2148"/>
      <c r="E1391" s="1063">
        <f t="shared" ref="E1391:G1392" si="330">E1392</f>
        <v>0</v>
      </c>
      <c r="F1391" s="1063">
        <f t="shared" si="330"/>
        <v>3173760</v>
      </c>
      <c r="G1391" s="1063">
        <f t="shared" si="330"/>
        <v>3132247</v>
      </c>
      <c r="H1391" s="1064">
        <f t="shared" si="329"/>
        <v>0.98691993093365593</v>
      </c>
    </row>
    <row r="1392" spans="1:8" ht="16.5" customHeight="1">
      <c r="A1392" s="1394"/>
      <c r="B1392" s="1395"/>
      <c r="C1392" s="2161" t="s">
        <v>710</v>
      </c>
      <c r="D1392" s="2161"/>
      <c r="E1392" s="1079">
        <f t="shared" si="330"/>
        <v>0</v>
      </c>
      <c r="F1392" s="1079">
        <f t="shared" si="330"/>
        <v>3173760</v>
      </c>
      <c r="G1392" s="1079">
        <f t="shared" si="330"/>
        <v>3132247</v>
      </c>
      <c r="H1392" s="1080">
        <f t="shared" si="329"/>
        <v>0.98691993093365593</v>
      </c>
    </row>
    <row r="1393" spans="1:8" ht="36" customHeight="1" thickBot="1">
      <c r="A1393" s="1394"/>
      <c r="B1393" s="1395"/>
      <c r="C1393" s="1545" t="s">
        <v>188</v>
      </c>
      <c r="D1393" s="1546" t="s">
        <v>879</v>
      </c>
      <c r="E1393" s="1189">
        <v>0</v>
      </c>
      <c r="F1393" s="1189">
        <v>3173760</v>
      </c>
      <c r="G1393" s="1189">
        <v>3132247</v>
      </c>
      <c r="H1393" s="1190">
        <f t="shared" si="329"/>
        <v>0.98691993093365593</v>
      </c>
    </row>
    <row r="1394" spans="1:8" ht="17.100000000000001" customHeight="1" thickBot="1">
      <c r="A1394" s="1394"/>
      <c r="B1394" s="1144" t="s">
        <v>158</v>
      </c>
      <c r="C1394" s="1145"/>
      <c r="D1394" s="1146" t="s">
        <v>159</v>
      </c>
      <c r="E1394" s="1147">
        <f t="shared" ref="E1394:G1395" si="331">E1395</f>
        <v>100000</v>
      </c>
      <c r="F1394" s="1147">
        <f t="shared" si="331"/>
        <v>100000</v>
      </c>
      <c r="G1394" s="1147">
        <f t="shared" si="331"/>
        <v>77208</v>
      </c>
      <c r="H1394" s="1148">
        <f t="shared" si="329"/>
        <v>0.77207999999999999</v>
      </c>
    </row>
    <row r="1395" spans="1:8" ht="17.100000000000001" customHeight="1">
      <c r="A1395" s="1394"/>
      <c r="B1395" s="2154"/>
      <c r="C1395" s="2148" t="s">
        <v>560</v>
      </c>
      <c r="D1395" s="2148"/>
      <c r="E1395" s="1063">
        <f t="shared" si="331"/>
        <v>100000</v>
      </c>
      <c r="F1395" s="1063">
        <f t="shared" si="331"/>
        <v>100000</v>
      </c>
      <c r="G1395" s="1063">
        <f t="shared" si="331"/>
        <v>77208</v>
      </c>
      <c r="H1395" s="1064">
        <f t="shared" si="329"/>
        <v>0.77207999999999999</v>
      </c>
    </row>
    <row r="1396" spans="1:8" ht="17.100000000000001" customHeight="1">
      <c r="A1396" s="1394"/>
      <c r="B1396" s="2154"/>
      <c r="C1396" s="2161" t="s">
        <v>647</v>
      </c>
      <c r="D1396" s="2161"/>
      <c r="E1396" s="1079">
        <f>SUM(E1397:E1397)</f>
        <v>100000</v>
      </c>
      <c r="F1396" s="1079">
        <f t="shared" ref="F1396:G1396" si="332">SUM(F1397:F1397)</f>
        <v>100000</v>
      </c>
      <c r="G1396" s="1079">
        <f t="shared" si="332"/>
        <v>77208</v>
      </c>
      <c r="H1396" s="1080">
        <f t="shared" si="329"/>
        <v>0.77207999999999999</v>
      </c>
    </row>
    <row r="1397" spans="1:8" ht="50.25" customHeight="1" thickBot="1">
      <c r="A1397" s="1394"/>
      <c r="B1397" s="2154"/>
      <c r="C1397" s="1545" t="s">
        <v>125</v>
      </c>
      <c r="D1397" s="1546" t="s">
        <v>656</v>
      </c>
      <c r="E1397" s="1189">
        <v>100000</v>
      </c>
      <c r="F1397" s="1189">
        <v>100000</v>
      </c>
      <c r="G1397" s="1189">
        <v>77208</v>
      </c>
      <c r="H1397" s="1190">
        <f t="shared" si="329"/>
        <v>0.77207999999999999</v>
      </c>
    </row>
    <row r="1398" spans="1:8" ht="17.100000000000001" customHeight="1" thickBot="1">
      <c r="A1398" s="1394"/>
      <c r="B1398" s="1144" t="s">
        <v>161</v>
      </c>
      <c r="C1398" s="1145"/>
      <c r="D1398" s="1146" t="s">
        <v>492</v>
      </c>
      <c r="E1398" s="1147">
        <f t="shared" ref="E1398:G1398" si="333">SUM(E1399)</f>
        <v>240200</v>
      </c>
      <c r="F1398" s="1147">
        <f t="shared" si="333"/>
        <v>346289</v>
      </c>
      <c r="G1398" s="1147">
        <f t="shared" si="333"/>
        <v>225242</v>
      </c>
      <c r="H1398" s="1148">
        <f t="shared" si="329"/>
        <v>0.65044514841649603</v>
      </c>
    </row>
    <row r="1399" spans="1:8" ht="17.100000000000001" customHeight="1">
      <c r="A1399" s="1394"/>
      <c r="B1399" s="1395"/>
      <c r="C1399" s="2112" t="s">
        <v>560</v>
      </c>
      <c r="D1399" s="2112"/>
      <c r="E1399" s="1063">
        <f>E1400+E1405</f>
        <v>240200</v>
      </c>
      <c r="F1399" s="1063">
        <f t="shared" ref="F1399:G1399" si="334">F1400+F1405</f>
        <v>346289</v>
      </c>
      <c r="G1399" s="1063">
        <f t="shared" si="334"/>
        <v>225242</v>
      </c>
      <c r="H1399" s="1064">
        <f t="shared" si="329"/>
        <v>0.65044514841649603</v>
      </c>
    </row>
    <row r="1400" spans="1:8" ht="17.100000000000001" customHeight="1">
      <c r="A1400" s="1394"/>
      <c r="B1400" s="1395"/>
      <c r="C1400" s="2158" t="s">
        <v>561</v>
      </c>
      <c r="D1400" s="2158"/>
      <c r="E1400" s="1079">
        <f t="shared" ref="E1400:G1400" si="335">E1401</f>
        <v>20000</v>
      </c>
      <c r="F1400" s="1079">
        <f t="shared" si="335"/>
        <v>20000</v>
      </c>
      <c r="G1400" s="1079">
        <f t="shared" si="335"/>
        <v>19931</v>
      </c>
      <c r="H1400" s="1080">
        <f t="shared" si="329"/>
        <v>0.99655000000000005</v>
      </c>
    </row>
    <row r="1401" spans="1:8" ht="17.100000000000001" customHeight="1">
      <c r="A1401" s="1394"/>
      <c r="B1401" s="1395"/>
      <c r="C1401" s="2175" t="s">
        <v>570</v>
      </c>
      <c r="D1401" s="2175"/>
      <c r="E1401" s="1079">
        <f>SUM(E1402:E1403)</f>
        <v>20000</v>
      </c>
      <c r="F1401" s="1079">
        <f t="shared" ref="F1401:G1401" si="336">SUM(F1402:F1403)</f>
        <v>20000</v>
      </c>
      <c r="G1401" s="1079">
        <f t="shared" si="336"/>
        <v>19931</v>
      </c>
      <c r="H1401" s="1080">
        <f t="shared" si="329"/>
        <v>0.99655000000000005</v>
      </c>
    </row>
    <row r="1402" spans="1:8" ht="17.100000000000001" customHeight="1">
      <c r="A1402" s="1394"/>
      <c r="B1402" s="1395"/>
      <c r="C1402" s="1554" t="s">
        <v>163</v>
      </c>
      <c r="D1402" s="1553" t="s">
        <v>631</v>
      </c>
      <c r="E1402" s="1079">
        <v>20000</v>
      </c>
      <c r="F1402" s="1079">
        <v>18000</v>
      </c>
      <c r="G1402" s="1079">
        <v>17935</v>
      </c>
      <c r="H1402" s="1080">
        <f t="shared" si="329"/>
        <v>0.99638888888888888</v>
      </c>
    </row>
    <row r="1403" spans="1:8" ht="17.100000000000001" customHeight="1">
      <c r="A1403" s="1394"/>
      <c r="B1403" s="1395"/>
      <c r="C1403" s="1555" t="s">
        <v>143</v>
      </c>
      <c r="D1403" s="1234" t="s">
        <v>573</v>
      </c>
      <c r="E1403" s="1103">
        <v>0</v>
      </c>
      <c r="F1403" s="1103">
        <v>2000</v>
      </c>
      <c r="G1403" s="1103">
        <v>1996</v>
      </c>
      <c r="H1403" s="1080">
        <f t="shared" si="329"/>
        <v>0.998</v>
      </c>
    </row>
    <row r="1404" spans="1:8" ht="17.100000000000001" customHeight="1">
      <c r="A1404" s="1394"/>
      <c r="B1404" s="1395"/>
      <c r="C1404" s="1556"/>
      <c r="D1404" s="1098"/>
      <c r="E1404" s="1440"/>
      <c r="F1404" s="1440"/>
      <c r="G1404" s="1440"/>
      <c r="H1404" s="1441"/>
    </row>
    <row r="1405" spans="1:8" ht="17.100000000000001" customHeight="1">
      <c r="A1405" s="1394"/>
      <c r="B1405" s="1395"/>
      <c r="C1405" s="2206" t="s">
        <v>647</v>
      </c>
      <c r="D1405" s="2207"/>
      <c r="E1405" s="1557">
        <f t="shared" ref="E1405:G1405" si="337">SUM(E1406:E1406)</f>
        <v>220200</v>
      </c>
      <c r="F1405" s="1557">
        <f t="shared" si="337"/>
        <v>326289</v>
      </c>
      <c r="G1405" s="1557">
        <f t="shared" si="337"/>
        <v>205311</v>
      </c>
      <c r="H1405" s="1558">
        <f t="shared" si="329"/>
        <v>0.62923052876437757</v>
      </c>
    </row>
    <row r="1406" spans="1:8" ht="42.75" customHeight="1" thickBot="1">
      <c r="A1406" s="1394"/>
      <c r="B1406" s="1395"/>
      <c r="C1406" s="1548" t="s">
        <v>125</v>
      </c>
      <c r="D1406" s="1549" t="s">
        <v>656</v>
      </c>
      <c r="E1406" s="1550">
        <v>220200</v>
      </c>
      <c r="F1406" s="1550">
        <v>326289</v>
      </c>
      <c r="G1406" s="1550">
        <v>205311</v>
      </c>
      <c r="H1406" s="1551">
        <f t="shared" si="329"/>
        <v>0.62923052876437757</v>
      </c>
    </row>
    <row r="1407" spans="1:8" ht="27.75" customHeight="1" thickBot="1">
      <c r="A1407" s="1394"/>
      <c r="B1407" s="1144" t="s">
        <v>894</v>
      </c>
      <c r="C1407" s="1153"/>
      <c r="D1407" s="1154" t="s">
        <v>494</v>
      </c>
      <c r="E1407" s="1155">
        <f t="shared" ref="E1407:G1410" si="338">E1408</f>
        <v>27000</v>
      </c>
      <c r="F1407" s="1155">
        <f t="shared" si="338"/>
        <v>22612</v>
      </c>
      <c r="G1407" s="1155">
        <f t="shared" si="338"/>
        <v>22333</v>
      </c>
      <c r="H1407" s="1156">
        <f t="shared" si="329"/>
        <v>0.98766141871572621</v>
      </c>
    </row>
    <row r="1408" spans="1:8" ht="17.100000000000001" customHeight="1">
      <c r="A1408" s="1394"/>
      <c r="B1408" s="2154"/>
      <c r="C1408" s="2112" t="s">
        <v>560</v>
      </c>
      <c r="D1408" s="2112"/>
      <c r="E1408" s="1063">
        <f t="shared" si="338"/>
        <v>27000</v>
      </c>
      <c r="F1408" s="1063">
        <f t="shared" si="338"/>
        <v>22612</v>
      </c>
      <c r="G1408" s="1063">
        <f t="shared" si="338"/>
        <v>22333</v>
      </c>
      <c r="H1408" s="1064">
        <f t="shared" si="329"/>
        <v>0.98766141871572621</v>
      </c>
    </row>
    <row r="1409" spans="1:8" ht="17.100000000000001" customHeight="1">
      <c r="A1409" s="1394"/>
      <c r="B1409" s="2154"/>
      <c r="C1409" s="2158" t="s">
        <v>561</v>
      </c>
      <c r="D1409" s="2158"/>
      <c r="E1409" s="1557">
        <f t="shared" si="338"/>
        <v>27000</v>
      </c>
      <c r="F1409" s="1557">
        <f t="shared" si="338"/>
        <v>22612</v>
      </c>
      <c r="G1409" s="1557">
        <f t="shared" si="338"/>
        <v>22333</v>
      </c>
      <c r="H1409" s="1558">
        <f t="shared" si="329"/>
        <v>0.98766141871572621</v>
      </c>
    </row>
    <row r="1410" spans="1:8" ht="17.100000000000001" customHeight="1">
      <c r="A1410" s="1394"/>
      <c r="B1410" s="2154"/>
      <c r="C1410" s="2175" t="s">
        <v>570</v>
      </c>
      <c r="D1410" s="2175"/>
      <c r="E1410" s="1557">
        <f t="shared" si="338"/>
        <v>27000</v>
      </c>
      <c r="F1410" s="1557">
        <f t="shared" si="338"/>
        <v>22612</v>
      </c>
      <c r="G1410" s="1557">
        <f t="shared" si="338"/>
        <v>22333</v>
      </c>
      <c r="H1410" s="1558">
        <f t="shared" si="329"/>
        <v>0.98766141871572621</v>
      </c>
    </row>
    <row r="1411" spans="1:8" ht="17.100000000000001" customHeight="1" thickBot="1">
      <c r="A1411" s="1394"/>
      <c r="B1411" s="2154"/>
      <c r="C1411" s="1545" t="s">
        <v>895</v>
      </c>
      <c r="D1411" s="1546" t="s">
        <v>896</v>
      </c>
      <c r="E1411" s="1189">
        <v>27000</v>
      </c>
      <c r="F1411" s="1189">
        <v>22612</v>
      </c>
      <c r="G1411" s="1189">
        <v>22333</v>
      </c>
      <c r="H1411" s="1190">
        <f t="shared" si="329"/>
        <v>0.98766141871572621</v>
      </c>
    </row>
    <row r="1412" spans="1:8" ht="17.100000000000001" customHeight="1" thickBot="1">
      <c r="A1412" s="1394"/>
      <c r="B1412" s="1144" t="s">
        <v>897</v>
      </c>
      <c r="C1412" s="1145"/>
      <c r="D1412" s="1146" t="s">
        <v>11</v>
      </c>
      <c r="E1412" s="1147">
        <f>SUM(E1413)</f>
        <v>37500</v>
      </c>
      <c r="F1412" s="1147">
        <f t="shared" ref="F1412:G1412" si="339">SUM(F1413)</f>
        <v>68300</v>
      </c>
      <c r="G1412" s="1147">
        <f t="shared" si="339"/>
        <v>40211</v>
      </c>
      <c r="H1412" s="1148">
        <f t="shared" si="329"/>
        <v>0.58874084919472913</v>
      </c>
    </row>
    <row r="1413" spans="1:8" ht="17.100000000000001" customHeight="1">
      <c r="A1413" s="1394"/>
      <c r="B1413" s="1514"/>
      <c r="C1413" s="2112" t="s">
        <v>560</v>
      </c>
      <c r="D1413" s="2112"/>
      <c r="E1413" s="1063">
        <f>E1414</f>
        <v>37500</v>
      </c>
      <c r="F1413" s="1063">
        <f t="shared" ref="F1413:G1413" si="340">F1414</f>
        <v>68300</v>
      </c>
      <c r="G1413" s="1063">
        <f t="shared" si="340"/>
        <v>40211</v>
      </c>
      <c r="H1413" s="1064">
        <f t="shared" si="329"/>
        <v>0.58874084919472913</v>
      </c>
    </row>
    <row r="1414" spans="1:8" ht="17.100000000000001" customHeight="1">
      <c r="A1414" s="1394"/>
      <c r="B1414" s="1395"/>
      <c r="C1414" s="2158" t="s">
        <v>561</v>
      </c>
      <c r="D1414" s="2158"/>
      <c r="E1414" s="1550">
        <f t="shared" ref="E1414:G1414" si="341">E1415+E1418</f>
        <v>37500</v>
      </c>
      <c r="F1414" s="1550">
        <f t="shared" si="341"/>
        <v>68300</v>
      </c>
      <c r="G1414" s="1550">
        <f t="shared" si="341"/>
        <v>40211</v>
      </c>
      <c r="H1414" s="1551">
        <f t="shared" si="329"/>
        <v>0.58874084919472913</v>
      </c>
    </row>
    <row r="1415" spans="1:8" ht="17.100000000000001" customHeight="1">
      <c r="A1415" s="1394"/>
      <c r="B1415" s="1395"/>
      <c r="C1415" s="2203" t="s">
        <v>562</v>
      </c>
      <c r="D1415" s="2203"/>
      <c r="E1415" s="1550">
        <f t="shared" ref="E1415:G1415" si="342">SUM(E1416:E1416)</f>
        <v>34700</v>
      </c>
      <c r="F1415" s="1550">
        <f t="shared" si="342"/>
        <v>56300</v>
      </c>
      <c r="G1415" s="1550">
        <f t="shared" si="342"/>
        <v>30300</v>
      </c>
      <c r="H1415" s="1551">
        <f t="shared" si="329"/>
        <v>0.53818827708703376</v>
      </c>
    </row>
    <row r="1416" spans="1:8" ht="17.100000000000001" customHeight="1">
      <c r="A1416" s="1394"/>
      <c r="B1416" s="1395"/>
      <c r="C1416" s="1552" t="s">
        <v>568</v>
      </c>
      <c r="D1416" s="1553" t="s">
        <v>569</v>
      </c>
      <c r="E1416" s="1559">
        <v>34700</v>
      </c>
      <c r="F1416" s="1559">
        <v>56300</v>
      </c>
      <c r="G1416" s="1559">
        <v>30300</v>
      </c>
      <c r="H1416" s="1560">
        <f t="shared" si="329"/>
        <v>0.53818827708703376</v>
      </c>
    </row>
    <row r="1417" spans="1:8" ht="17.100000000000001" customHeight="1">
      <c r="A1417" s="1394"/>
      <c r="B1417" s="1395"/>
      <c r="C1417" s="1098"/>
      <c r="D1417" s="1098"/>
      <c r="E1417" s="1440"/>
      <c r="F1417" s="1440"/>
      <c r="G1417" s="1440"/>
      <c r="H1417" s="1441"/>
    </row>
    <row r="1418" spans="1:8" ht="17.100000000000001" customHeight="1">
      <c r="A1418" s="1394"/>
      <c r="B1418" s="1395"/>
      <c r="C1418" s="2178" t="s">
        <v>570</v>
      </c>
      <c r="D1418" s="2178"/>
      <c r="E1418" s="1543">
        <f>SUM(E1419:E1419)</f>
        <v>2800</v>
      </c>
      <c r="F1418" s="1543">
        <f t="shared" ref="F1418:G1418" si="343">SUM(F1419:F1419)</f>
        <v>12000</v>
      </c>
      <c r="G1418" s="1543">
        <f t="shared" si="343"/>
        <v>9911</v>
      </c>
      <c r="H1418" s="1544">
        <f t="shared" si="329"/>
        <v>0.82591666666666663</v>
      </c>
    </row>
    <row r="1419" spans="1:8" ht="17.100000000000001" customHeight="1" thickBot="1">
      <c r="A1419" s="1394"/>
      <c r="B1419" s="1395"/>
      <c r="C1419" s="1561" t="s">
        <v>25</v>
      </c>
      <c r="D1419" s="1562" t="s">
        <v>581</v>
      </c>
      <c r="E1419" s="1557">
        <v>2800</v>
      </c>
      <c r="F1419" s="1557">
        <v>12000</v>
      </c>
      <c r="G1419" s="1557">
        <v>9911</v>
      </c>
      <c r="H1419" s="1558">
        <f t="shared" si="329"/>
        <v>0.82591666666666663</v>
      </c>
    </row>
    <row r="1420" spans="1:8" ht="17.100000000000001" customHeight="1" thickBot="1">
      <c r="A1420" s="1051" t="s">
        <v>15</v>
      </c>
      <c r="B1420" s="1052"/>
      <c r="C1420" s="1053"/>
      <c r="D1420" s="1054" t="s">
        <v>898</v>
      </c>
      <c r="E1420" s="1055">
        <f>SUM(E1421,E1425,E1432,E1486,E1482)</f>
        <v>24687553</v>
      </c>
      <c r="F1420" s="1055">
        <f>SUM(F1421,F1425,F1432,F1486,F1482)</f>
        <v>28466072</v>
      </c>
      <c r="G1420" s="1055">
        <f t="shared" ref="G1420" si="344">SUM(G1421,G1425,G1432,G1486,G1482)</f>
        <v>24477334</v>
      </c>
      <c r="H1420" s="1056">
        <f t="shared" si="329"/>
        <v>0.85987747097667711</v>
      </c>
    </row>
    <row r="1421" spans="1:8" ht="17.100000000000001" customHeight="1" thickBot="1">
      <c r="A1421" s="1439"/>
      <c r="B1421" s="1339" t="s">
        <v>165</v>
      </c>
      <c r="C1421" s="1340"/>
      <c r="D1421" s="1341" t="s">
        <v>166</v>
      </c>
      <c r="E1421" s="1147">
        <f t="shared" ref="E1421:G1422" si="345">E1422</f>
        <v>150000</v>
      </c>
      <c r="F1421" s="1147">
        <f t="shared" si="345"/>
        <v>150000</v>
      </c>
      <c r="G1421" s="1147">
        <f t="shared" si="345"/>
        <v>150000</v>
      </c>
      <c r="H1421" s="1148">
        <f t="shared" si="329"/>
        <v>1</v>
      </c>
    </row>
    <row r="1422" spans="1:8" ht="17.100000000000001" customHeight="1">
      <c r="A1422" s="1439"/>
      <c r="B1422" s="2205"/>
      <c r="C1422" s="2112" t="s">
        <v>560</v>
      </c>
      <c r="D1422" s="2112"/>
      <c r="E1422" s="1063">
        <f>E1423</f>
        <v>150000</v>
      </c>
      <c r="F1422" s="1063">
        <f t="shared" si="345"/>
        <v>150000</v>
      </c>
      <c r="G1422" s="1063">
        <f t="shared" si="345"/>
        <v>150000</v>
      </c>
      <c r="H1422" s="1064">
        <f t="shared" si="329"/>
        <v>1</v>
      </c>
    </row>
    <row r="1423" spans="1:8" ht="17.100000000000001" customHeight="1">
      <c r="A1423" s="1439"/>
      <c r="B1423" s="2205"/>
      <c r="C1423" s="2158" t="s">
        <v>647</v>
      </c>
      <c r="D1423" s="2158"/>
      <c r="E1423" s="1079">
        <f>SUM(E1424:E1424)</f>
        <v>150000</v>
      </c>
      <c r="F1423" s="1079">
        <f t="shared" ref="F1423:G1423" si="346">SUM(F1424:F1424)</f>
        <v>150000</v>
      </c>
      <c r="G1423" s="1079">
        <f t="shared" si="346"/>
        <v>150000</v>
      </c>
      <c r="H1423" s="1080">
        <f t="shared" si="329"/>
        <v>1</v>
      </c>
    </row>
    <row r="1424" spans="1:8" ht="39" thickBot="1">
      <c r="A1424" s="1439"/>
      <c r="B1424" s="2205"/>
      <c r="C1424" s="1563" t="s">
        <v>125</v>
      </c>
      <c r="D1424" s="1564" t="s">
        <v>899</v>
      </c>
      <c r="E1424" s="1543">
        <v>150000</v>
      </c>
      <c r="F1424" s="1543">
        <v>150000</v>
      </c>
      <c r="G1424" s="1543">
        <v>150000</v>
      </c>
      <c r="H1424" s="1544">
        <f t="shared" si="329"/>
        <v>1</v>
      </c>
    </row>
    <row r="1425" spans="1:9" ht="26.25" thickBot="1">
      <c r="A1425" s="1439"/>
      <c r="B1425" s="1339" t="s">
        <v>197</v>
      </c>
      <c r="C1425" s="1340"/>
      <c r="D1425" s="1341" t="s">
        <v>900</v>
      </c>
      <c r="E1425" s="1219">
        <f>E1426+E1429</f>
        <v>0</v>
      </c>
      <c r="F1425" s="1219">
        <f t="shared" ref="F1425:G1425" si="347">F1426+F1429</f>
        <v>188000</v>
      </c>
      <c r="G1425" s="1219">
        <f t="shared" si="347"/>
        <v>188000</v>
      </c>
      <c r="H1425" s="1220">
        <f t="shared" si="329"/>
        <v>1</v>
      </c>
    </row>
    <row r="1426" spans="1:9">
      <c r="A1426" s="1439"/>
      <c r="B1426" s="1565"/>
      <c r="C1426" s="2112" t="s">
        <v>560</v>
      </c>
      <c r="D1426" s="2112"/>
      <c r="E1426" s="1063">
        <f>E1427</f>
        <v>0</v>
      </c>
      <c r="F1426" s="1063">
        <f t="shared" ref="F1426:G1426" si="348">F1427</f>
        <v>138000</v>
      </c>
      <c r="G1426" s="1063">
        <f t="shared" si="348"/>
        <v>138000</v>
      </c>
      <c r="H1426" s="1064">
        <f t="shared" si="329"/>
        <v>1</v>
      </c>
    </row>
    <row r="1427" spans="1:9" ht="16.5" customHeight="1">
      <c r="A1427" s="1439"/>
      <c r="B1427" s="1565"/>
      <c r="C1427" s="2158" t="s">
        <v>647</v>
      </c>
      <c r="D1427" s="2158"/>
      <c r="E1427" s="1079">
        <f>SUM(E1428:E1428)</f>
        <v>0</v>
      </c>
      <c r="F1427" s="1079">
        <f t="shared" ref="F1427:G1427" si="349">SUM(F1428:F1428)</f>
        <v>138000</v>
      </c>
      <c r="G1427" s="1079">
        <f t="shared" si="349"/>
        <v>138000</v>
      </c>
      <c r="H1427" s="1080">
        <f t="shared" si="329"/>
        <v>1</v>
      </c>
    </row>
    <row r="1428" spans="1:9" ht="28.5" customHeight="1">
      <c r="A1428" s="1439"/>
      <c r="B1428" s="1565"/>
      <c r="C1428" s="1566" t="s">
        <v>19</v>
      </c>
      <c r="D1428" s="1567" t="s">
        <v>719</v>
      </c>
      <c r="E1428" s="1079">
        <v>0</v>
      </c>
      <c r="F1428" s="1079">
        <v>138000</v>
      </c>
      <c r="G1428" s="1079">
        <v>138000</v>
      </c>
      <c r="H1428" s="1080">
        <f t="shared" si="329"/>
        <v>1</v>
      </c>
    </row>
    <row r="1429" spans="1:9" ht="17.25" customHeight="1">
      <c r="A1429" s="1439"/>
      <c r="B1429" s="2205"/>
      <c r="C1429" s="2112" t="s">
        <v>605</v>
      </c>
      <c r="D1429" s="2112"/>
      <c r="E1429" s="1568">
        <f>E1430</f>
        <v>0</v>
      </c>
      <c r="F1429" s="1568">
        <f t="shared" ref="F1429:G1430" si="350">F1430</f>
        <v>50000</v>
      </c>
      <c r="G1429" s="1568">
        <f t="shared" si="350"/>
        <v>50000</v>
      </c>
      <c r="H1429" s="1528">
        <f t="shared" si="329"/>
        <v>1</v>
      </c>
    </row>
    <row r="1430" spans="1:9" ht="17.25" customHeight="1">
      <c r="A1430" s="1439"/>
      <c r="B1430" s="2205"/>
      <c r="C1430" s="2161" t="s">
        <v>606</v>
      </c>
      <c r="D1430" s="2161"/>
      <c r="E1430" s="1543">
        <f>E1431</f>
        <v>0</v>
      </c>
      <c r="F1430" s="1543">
        <f t="shared" si="350"/>
        <v>50000</v>
      </c>
      <c r="G1430" s="1543">
        <f t="shared" si="350"/>
        <v>50000</v>
      </c>
      <c r="H1430" s="1544">
        <f t="shared" si="329"/>
        <v>1</v>
      </c>
    </row>
    <row r="1431" spans="1:9" ht="40.5" customHeight="1" thickBot="1">
      <c r="A1431" s="1439"/>
      <c r="B1431" s="2205"/>
      <c r="C1431" s="1569" t="s">
        <v>22</v>
      </c>
      <c r="D1431" s="1570" t="s">
        <v>711</v>
      </c>
      <c r="E1431" s="1550">
        <v>0</v>
      </c>
      <c r="F1431" s="1550">
        <v>50000</v>
      </c>
      <c r="G1431" s="1550">
        <v>50000</v>
      </c>
      <c r="H1431" s="1551">
        <f t="shared" si="329"/>
        <v>1</v>
      </c>
    </row>
    <row r="1432" spans="1:9" ht="17.100000000000001" customHeight="1" thickBot="1">
      <c r="A1432" s="1394"/>
      <c r="B1432" s="1144" t="s">
        <v>901</v>
      </c>
      <c r="C1432" s="1153"/>
      <c r="D1432" s="1154" t="s">
        <v>496</v>
      </c>
      <c r="E1432" s="1155">
        <f>E1433+E1479</f>
        <v>3781083</v>
      </c>
      <c r="F1432" s="1155">
        <f>F1433+F1479</f>
        <v>3604441</v>
      </c>
      <c r="G1432" s="1155">
        <f>G1433+G1479</f>
        <v>3545770</v>
      </c>
      <c r="H1432" s="1156">
        <f t="shared" si="329"/>
        <v>0.98372258000616464</v>
      </c>
    </row>
    <row r="1433" spans="1:9" ht="17.100000000000001" customHeight="1">
      <c r="A1433" s="1394"/>
      <c r="B1433" s="1395"/>
      <c r="C1433" s="2112" t="s">
        <v>560</v>
      </c>
      <c r="D1433" s="2112"/>
      <c r="E1433" s="1063">
        <f>E1434+E1464+E1467</f>
        <v>3702083</v>
      </c>
      <c r="F1433" s="1063">
        <f>F1434+F1464+F1467</f>
        <v>3604441</v>
      </c>
      <c r="G1433" s="1063">
        <f>G1434+G1464+G1467</f>
        <v>3545770</v>
      </c>
      <c r="H1433" s="1064">
        <f t="shared" si="329"/>
        <v>0.98372258000616464</v>
      </c>
    </row>
    <row r="1434" spans="1:9" ht="17.100000000000001" customHeight="1">
      <c r="A1434" s="1394"/>
      <c r="B1434" s="1395"/>
      <c r="C1434" s="2158" t="s">
        <v>561</v>
      </c>
      <c r="D1434" s="2158"/>
      <c r="E1434" s="1079">
        <f t="shared" ref="E1434:G1434" si="351">E1435+E1442</f>
        <v>2512183</v>
      </c>
      <c r="F1434" s="1079">
        <f t="shared" si="351"/>
        <v>2918941</v>
      </c>
      <c r="G1434" s="1079">
        <f t="shared" si="351"/>
        <v>2874806</v>
      </c>
      <c r="H1434" s="1080">
        <f t="shared" si="329"/>
        <v>0.98487979030751216</v>
      </c>
    </row>
    <row r="1435" spans="1:9" ht="17.100000000000001" customHeight="1">
      <c r="A1435" s="1394"/>
      <c r="B1435" s="1395"/>
      <c r="C1435" s="2203" t="s">
        <v>562</v>
      </c>
      <c r="D1435" s="2203"/>
      <c r="E1435" s="1115">
        <f t="shared" ref="E1435:G1435" si="352">SUM(E1436:E1440)</f>
        <v>1974703</v>
      </c>
      <c r="F1435" s="1115">
        <f t="shared" si="352"/>
        <v>2123159</v>
      </c>
      <c r="G1435" s="1115">
        <f t="shared" si="352"/>
        <v>2120349</v>
      </c>
      <c r="H1435" s="1116">
        <f t="shared" si="329"/>
        <v>0.99867650044108802</v>
      </c>
    </row>
    <row r="1436" spans="1:9" ht="17.100000000000001" customHeight="1">
      <c r="A1436" s="1394"/>
      <c r="B1436" s="1395"/>
      <c r="C1436" s="1552" t="s">
        <v>145</v>
      </c>
      <c r="D1436" s="1553" t="s">
        <v>563</v>
      </c>
      <c r="E1436" s="1079">
        <v>1487096</v>
      </c>
      <c r="F1436" s="1079">
        <v>1663819</v>
      </c>
      <c r="G1436" s="1079">
        <v>1662445</v>
      </c>
      <c r="H1436" s="1080">
        <f t="shared" si="329"/>
        <v>0.99917418901935851</v>
      </c>
    </row>
    <row r="1437" spans="1:9" ht="17.100000000000001" customHeight="1">
      <c r="A1437" s="1394"/>
      <c r="B1437" s="1395"/>
      <c r="C1437" s="1552" t="s">
        <v>564</v>
      </c>
      <c r="D1437" s="1553" t="s">
        <v>565</v>
      </c>
      <c r="E1437" s="1079">
        <v>148295</v>
      </c>
      <c r="F1437" s="1079">
        <v>125673</v>
      </c>
      <c r="G1437" s="1079">
        <v>125673</v>
      </c>
      <c r="H1437" s="1080">
        <f t="shared" si="329"/>
        <v>1</v>
      </c>
      <c r="I1437" s="1037"/>
    </row>
    <row r="1438" spans="1:9" ht="17.100000000000001" customHeight="1">
      <c r="A1438" s="1394"/>
      <c r="B1438" s="1395"/>
      <c r="C1438" s="1552" t="s">
        <v>146</v>
      </c>
      <c r="D1438" s="1553" t="s">
        <v>566</v>
      </c>
      <c r="E1438" s="1079">
        <v>272394</v>
      </c>
      <c r="F1438" s="1079">
        <v>286399</v>
      </c>
      <c r="G1438" s="1079">
        <v>285755</v>
      </c>
      <c r="H1438" s="1080">
        <f t="shared" si="329"/>
        <v>0.99775138879674863</v>
      </c>
      <c r="I1438" s="1037"/>
    </row>
    <row r="1439" spans="1:9" ht="17.100000000000001" customHeight="1">
      <c r="A1439" s="1394"/>
      <c r="B1439" s="1395"/>
      <c r="C1439" s="1552" t="s">
        <v>147</v>
      </c>
      <c r="D1439" s="1553" t="s">
        <v>567</v>
      </c>
      <c r="E1439" s="1079">
        <v>39418</v>
      </c>
      <c r="F1439" s="1079">
        <v>37213</v>
      </c>
      <c r="G1439" s="1079">
        <v>36621</v>
      </c>
      <c r="H1439" s="1080">
        <f t="shared" si="329"/>
        <v>0.98409158089914817</v>
      </c>
      <c r="I1439" s="1037"/>
    </row>
    <row r="1440" spans="1:9" ht="17.100000000000001" customHeight="1">
      <c r="A1440" s="1394"/>
      <c r="B1440" s="1395"/>
      <c r="C1440" s="1125" t="s">
        <v>568</v>
      </c>
      <c r="D1440" s="1126" t="s">
        <v>569</v>
      </c>
      <c r="E1440" s="1079">
        <v>27500</v>
      </c>
      <c r="F1440" s="1079">
        <v>10055</v>
      </c>
      <c r="G1440" s="1079">
        <v>9855</v>
      </c>
      <c r="H1440" s="1080">
        <f t="shared" si="329"/>
        <v>0.98010939830929888</v>
      </c>
      <c r="I1440" s="1037"/>
    </row>
    <row r="1441" spans="1:9" ht="17.100000000000001" customHeight="1">
      <c r="A1441" s="1394"/>
      <c r="B1441" s="1395"/>
      <c r="C1441" s="1098"/>
      <c r="D1441" s="1098"/>
      <c r="E1441" s="1440"/>
      <c r="F1441" s="1440"/>
      <c r="G1441" s="1440"/>
      <c r="H1441" s="1441"/>
      <c r="I1441" s="1037"/>
    </row>
    <row r="1442" spans="1:9" ht="17.100000000000001" customHeight="1">
      <c r="A1442" s="1394"/>
      <c r="B1442" s="1395"/>
      <c r="C1442" s="2175" t="s">
        <v>570</v>
      </c>
      <c r="D1442" s="2175"/>
      <c r="E1442" s="1115">
        <f>SUM(E1443:E1462)</f>
        <v>537480</v>
      </c>
      <c r="F1442" s="1115">
        <f>SUM(F1443:F1462)</f>
        <v>795782</v>
      </c>
      <c r="G1442" s="1115">
        <f>SUM(G1443:G1462)</f>
        <v>754457</v>
      </c>
      <c r="H1442" s="1116">
        <f t="shared" si="329"/>
        <v>0.94806994880507478</v>
      </c>
      <c r="I1442" s="1037"/>
    </row>
    <row r="1443" spans="1:9" ht="17.100000000000001" customHeight="1">
      <c r="A1443" s="1394"/>
      <c r="B1443" s="1395"/>
      <c r="C1443" s="1552" t="s">
        <v>571</v>
      </c>
      <c r="D1443" s="1553" t="s">
        <v>572</v>
      </c>
      <c r="E1443" s="1079">
        <v>8376</v>
      </c>
      <c r="F1443" s="1079">
        <v>876</v>
      </c>
      <c r="G1443" s="1079">
        <v>418</v>
      </c>
      <c r="H1443" s="1080">
        <f t="shared" si="329"/>
        <v>0.4771689497716895</v>
      </c>
      <c r="I1443" s="1037"/>
    </row>
    <row r="1444" spans="1:9" ht="17.100000000000001" customHeight="1">
      <c r="A1444" s="1394"/>
      <c r="B1444" s="1395"/>
      <c r="C1444" s="1552" t="s">
        <v>163</v>
      </c>
      <c r="D1444" s="1553" t="s">
        <v>631</v>
      </c>
      <c r="E1444" s="1079">
        <v>22000</v>
      </c>
      <c r="F1444" s="1079">
        <v>22000</v>
      </c>
      <c r="G1444" s="1079">
        <v>22000</v>
      </c>
      <c r="H1444" s="1080">
        <f t="shared" si="329"/>
        <v>1</v>
      </c>
      <c r="I1444" s="1037"/>
    </row>
    <row r="1445" spans="1:9" ht="17.100000000000001" customHeight="1">
      <c r="A1445" s="1394"/>
      <c r="B1445" s="1395"/>
      <c r="C1445" s="1552" t="s">
        <v>143</v>
      </c>
      <c r="D1445" s="1553" t="s">
        <v>573</v>
      </c>
      <c r="E1445" s="1079">
        <v>56891</v>
      </c>
      <c r="F1445" s="1079">
        <v>195189</v>
      </c>
      <c r="G1445" s="1079">
        <v>195120</v>
      </c>
      <c r="H1445" s="1080">
        <f t="shared" si="329"/>
        <v>0.99964649647264958</v>
      </c>
      <c r="I1445" s="1037"/>
    </row>
    <row r="1446" spans="1:9" ht="17.100000000000001" customHeight="1">
      <c r="A1446" s="1394"/>
      <c r="B1446" s="1395"/>
      <c r="C1446" s="1552" t="s">
        <v>574</v>
      </c>
      <c r="D1446" s="1553" t="s">
        <v>575</v>
      </c>
      <c r="E1446" s="1079">
        <v>5000</v>
      </c>
      <c r="F1446" s="1079">
        <v>5000</v>
      </c>
      <c r="G1446" s="1079">
        <v>4991</v>
      </c>
      <c r="H1446" s="1080">
        <f t="shared" si="329"/>
        <v>0.99819999999999998</v>
      </c>
      <c r="I1446" s="1037"/>
    </row>
    <row r="1447" spans="1:9" ht="17.100000000000001" customHeight="1">
      <c r="A1447" s="1394"/>
      <c r="B1447" s="1395"/>
      <c r="C1447" s="1552" t="s">
        <v>576</v>
      </c>
      <c r="D1447" s="1553" t="s">
        <v>577</v>
      </c>
      <c r="E1447" s="1079">
        <v>36000</v>
      </c>
      <c r="F1447" s="1079">
        <v>116795</v>
      </c>
      <c r="G1447" s="1079">
        <f>113844-1</f>
        <v>113843</v>
      </c>
      <c r="H1447" s="1080">
        <f t="shared" si="329"/>
        <v>0.97472494541718391</v>
      </c>
      <c r="I1447" s="1037"/>
    </row>
    <row r="1448" spans="1:9" ht="17.100000000000001" customHeight="1">
      <c r="A1448" s="1394"/>
      <c r="B1448" s="1395"/>
      <c r="C1448" s="1552" t="s">
        <v>24</v>
      </c>
      <c r="D1448" s="1553" t="s">
        <v>578</v>
      </c>
      <c r="E1448" s="1079">
        <v>9787</v>
      </c>
      <c r="F1448" s="1079">
        <v>16315</v>
      </c>
      <c r="G1448" s="1079">
        <v>15310</v>
      </c>
      <c r="H1448" s="1080">
        <f t="shared" si="329"/>
        <v>0.93840024517315357</v>
      </c>
      <c r="I1448" s="1037"/>
    </row>
    <row r="1449" spans="1:9" ht="17.100000000000001" customHeight="1">
      <c r="A1449" s="1394"/>
      <c r="B1449" s="1395"/>
      <c r="C1449" s="1552" t="s">
        <v>579</v>
      </c>
      <c r="D1449" s="1553" t="s">
        <v>580</v>
      </c>
      <c r="E1449" s="1079">
        <v>4500</v>
      </c>
      <c r="F1449" s="1079">
        <v>2900</v>
      </c>
      <c r="G1449" s="1079">
        <v>2466</v>
      </c>
      <c r="H1449" s="1080">
        <f t="shared" si="329"/>
        <v>0.85034482758620689</v>
      </c>
      <c r="I1449" s="1037"/>
    </row>
    <row r="1450" spans="1:9" ht="17.100000000000001" customHeight="1">
      <c r="A1450" s="1394"/>
      <c r="B1450" s="1395"/>
      <c r="C1450" s="1552" t="s">
        <v>25</v>
      </c>
      <c r="D1450" s="1553" t="s">
        <v>581</v>
      </c>
      <c r="E1450" s="1079">
        <v>196913</v>
      </c>
      <c r="F1450" s="1079">
        <v>257397</v>
      </c>
      <c r="G1450" s="1079">
        <f>232274+1</f>
        <v>232275</v>
      </c>
      <c r="H1450" s="1080">
        <f t="shared" si="329"/>
        <v>0.90239979486940403</v>
      </c>
      <c r="I1450" s="1037"/>
    </row>
    <row r="1451" spans="1:9" ht="16.5" customHeight="1">
      <c r="A1451" s="1394"/>
      <c r="B1451" s="1395"/>
      <c r="C1451" s="1552" t="s">
        <v>582</v>
      </c>
      <c r="D1451" s="1553" t="s">
        <v>583</v>
      </c>
      <c r="E1451" s="1079">
        <v>18500</v>
      </c>
      <c r="F1451" s="1079">
        <v>18500</v>
      </c>
      <c r="G1451" s="1079">
        <v>16738</v>
      </c>
      <c r="H1451" s="1080">
        <f t="shared" si="329"/>
        <v>0.90475675675675671</v>
      </c>
      <c r="I1451" s="1037"/>
    </row>
    <row r="1452" spans="1:9" ht="16.5" customHeight="1">
      <c r="A1452" s="1394"/>
      <c r="B1452" s="1395"/>
      <c r="C1452" s="1552" t="s">
        <v>754</v>
      </c>
      <c r="D1452" s="1553" t="s">
        <v>740</v>
      </c>
      <c r="E1452" s="1079">
        <v>2000</v>
      </c>
      <c r="F1452" s="1079">
        <v>0</v>
      </c>
      <c r="G1452" s="1079">
        <v>0</v>
      </c>
      <c r="H1452" s="1080"/>
      <c r="I1452" s="1037"/>
    </row>
    <row r="1453" spans="1:9" ht="16.5" customHeight="1">
      <c r="A1453" s="1394"/>
      <c r="B1453" s="1395"/>
      <c r="C1453" s="1552" t="s">
        <v>164</v>
      </c>
      <c r="D1453" s="1553" t="s">
        <v>584</v>
      </c>
      <c r="E1453" s="1079">
        <v>55000</v>
      </c>
      <c r="F1453" s="1079">
        <v>0</v>
      </c>
      <c r="G1453" s="1079">
        <v>0</v>
      </c>
      <c r="H1453" s="1080"/>
    </row>
    <row r="1454" spans="1:9" ht="20.100000000000001" customHeight="1">
      <c r="A1454" s="1394"/>
      <c r="B1454" s="1395"/>
      <c r="C1454" s="1552" t="s">
        <v>585</v>
      </c>
      <c r="D1454" s="1553" t="s">
        <v>586</v>
      </c>
      <c r="E1454" s="1079">
        <v>17544</v>
      </c>
      <c r="F1454" s="1079">
        <v>21515</v>
      </c>
      <c r="G1454" s="1079">
        <v>21458</v>
      </c>
      <c r="H1454" s="1080">
        <f t="shared" ref="H1454:H1520" si="353">G1454/F1454</f>
        <v>0.99735068556820827</v>
      </c>
    </row>
    <row r="1455" spans="1:9" ht="17.100000000000001" customHeight="1">
      <c r="A1455" s="1394"/>
      <c r="B1455" s="1395"/>
      <c r="C1455" s="1552" t="s">
        <v>587</v>
      </c>
      <c r="D1455" s="1553" t="s">
        <v>588</v>
      </c>
      <c r="E1455" s="1079">
        <v>13015</v>
      </c>
      <c r="F1455" s="1079">
        <v>14515</v>
      </c>
      <c r="G1455" s="1079">
        <v>11953</v>
      </c>
      <c r="H1455" s="1080">
        <f t="shared" si="353"/>
        <v>0.82349293833964865</v>
      </c>
    </row>
    <row r="1456" spans="1:9" ht="17.100000000000001" customHeight="1">
      <c r="A1456" s="1394"/>
      <c r="B1456" s="1395"/>
      <c r="C1456" s="1552" t="s">
        <v>701</v>
      </c>
      <c r="D1456" s="1553" t="s">
        <v>702</v>
      </c>
      <c r="E1456" s="1079">
        <v>5000</v>
      </c>
      <c r="F1456" s="1079">
        <v>1500</v>
      </c>
      <c r="G1456" s="1079">
        <v>1499</v>
      </c>
      <c r="H1456" s="1080">
        <f t="shared" si="353"/>
        <v>0.9993333333333333</v>
      </c>
    </row>
    <row r="1457" spans="1:9" ht="17.100000000000001" customHeight="1">
      <c r="A1457" s="1394"/>
      <c r="B1457" s="1395"/>
      <c r="C1457" s="1552" t="s">
        <v>589</v>
      </c>
      <c r="D1457" s="1553" t="s">
        <v>590</v>
      </c>
      <c r="E1457" s="1079">
        <v>1500</v>
      </c>
      <c r="F1457" s="1079">
        <v>8500</v>
      </c>
      <c r="G1457" s="1079">
        <v>6480</v>
      </c>
      <c r="H1457" s="1080">
        <f t="shared" si="353"/>
        <v>0.76235294117647057</v>
      </c>
    </row>
    <row r="1458" spans="1:9" ht="17.100000000000001" customHeight="1">
      <c r="A1458" s="1394"/>
      <c r="B1458" s="1395"/>
      <c r="C1458" s="1552" t="s">
        <v>591</v>
      </c>
      <c r="D1458" s="1553" t="s">
        <v>592</v>
      </c>
      <c r="E1458" s="1079">
        <v>56269</v>
      </c>
      <c r="F1458" s="1079">
        <v>54955</v>
      </c>
      <c r="G1458" s="1079">
        <v>54163</v>
      </c>
      <c r="H1458" s="1080">
        <f t="shared" si="353"/>
        <v>0.98558820853425533</v>
      </c>
    </row>
    <row r="1459" spans="1:9" ht="17.100000000000001" customHeight="1">
      <c r="A1459" s="1394"/>
      <c r="B1459" s="1395"/>
      <c r="C1459" s="1552" t="s">
        <v>593</v>
      </c>
      <c r="D1459" s="1553" t="s">
        <v>594</v>
      </c>
      <c r="E1459" s="1079">
        <v>7000</v>
      </c>
      <c r="F1459" s="1079">
        <v>22681</v>
      </c>
      <c r="G1459" s="1079">
        <v>21602</v>
      </c>
      <c r="H1459" s="1080">
        <f t="shared" si="353"/>
        <v>0.95242714166042064</v>
      </c>
    </row>
    <row r="1460" spans="1:9" ht="17.100000000000001" customHeight="1">
      <c r="A1460" s="1394"/>
      <c r="B1460" s="1395"/>
      <c r="C1460" s="1552" t="s">
        <v>597</v>
      </c>
      <c r="D1460" s="1553" t="s">
        <v>598</v>
      </c>
      <c r="E1460" s="1079">
        <v>11185</v>
      </c>
      <c r="F1460" s="1079">
        <v>20207</v>
      </c>
      <c r="G1460" s="1079">
        <v>19047</v>
      </c>
      <c r="H1460" s="1080">
        <f t="shared" si="353"/>
        <v>0.94259415054189144</v>
      </c>
    </row>
    <row r="1461" spans="1:9" ht="17.100000000000001" customHeight="1">
      <c r="A1461" s="1394"/>
      <c r="B1461" s="1395"/>
      <c r="C1461" s="1545" t="s">
        <v>608</v>
      </c>
      <c r="D1461" s="1553" t="s">
        <v>609</v>
      </c>
      <c r="E1461" s="1079">
        <v>0</v>
      </c>
      <c r="F1461" s="1079">
        <v>1937</v>
      </c>
      <c r="G1461" s="1079">
        <v>1934</v>
      </c>
      <c r="H1461" s="1080">
        <f t="shared" si="353"/>
        <v>0.99845121321631392</v>
      </c>
    </row>
    <row r="1462" spans="1:9" ht="17.100000000000001" customHeight="1">
      <c r="A1462" s="1394"/>
      <c r="B1462" s="1395"/>
      <c r="C1462" s="1545" t="s">
        <v>148</v>
      </c>
      <c r="D1462" s="1546" t="s">
        <v>601</v>
      </c>
      <c r="E1462" s="1079">
        <v>11000</v>
      </c>
      <c r="F1462" s="1079">
        <v>15000</v>
      </c>
      <c r="G1462" s="1079">
        <v>13160</v>
      </c>
      <c r="H1462" s="1080">
        <f t="shared" si="353"/>
        <v>0.8773333333333333</v>
      </c>
    </row>
    <row r="1463" spans="1:9" ht="17.100000000000001" customHeight="1">
      <c r="A1463" s="1394"/>
      <c r="B1463" s="1395"/>
      <c r="C1463" s="1571"/>
      <c r="D1463" s="1572"/>
      <c r="E1463" s="1231"/>
      <c r="F1463" s="1231"/>
      <c r="G1463" s="1231"/>
      <c r="H1463" s="1232"/>
    </row>
    <row r="1464" spans="1:9" ht="17.100000000000001" customHeight="1">
      <c r="A1464" s="1394"/>
      <c r="B1464" s="1395"/>
      <c r="C1464" s="2171" t="s">
        <v>647</v>
      </c>
      <c r="D1464" s="2171"/>
      <c r="E1464" s="1103">
        <f>E1465</f>
        <v>1180000</v>
      </c>
      <c r="F1464" s="1103">
        <f t="shared" ref="F1464:G1464" si="354">F1465</f>
        <v>680000</v>
      </c>
      <c r="G1464" s="1103">
        <f t="shared" si="354"/>
        <v>666258</v>
      </c>
      <c r="H1464" s="1104">
        <f t="shared" si="353"/>
        <v>0.97979117647058822</v>
      </c>
    </row>
    <row r="1465" spans="1:9" ht="40.5" customHeight="1">
      <c r="A1465" s="1394"/>
      <c r="B1465" s="1395"/>
      <c r="C1465" s="1552" t="s">
        <v>125</v>
      </c>
      <c r="D1465" s="1553" t="s">
        <v>656</v>
      </c>
      <c r="E1465" s="1079">
        <v>1180000</v>
      </c>
      <c r="F1465" s="1079">
        <v>680000</v>
      </c>
      <c r="G1465" s="1079">
        <v>666258</v>
      </c>
      <c r="H1465" s="1080">
        <f t="shared" si="353"/>
        <v>0.97979117647058822</v>
      </c>
    </row>
    <row r="1466" spans="1:9" ht="17.100000000000001" customHeight="1">
      <c r="A1466" s="1394"/>
      <c r="B1466" s="1395"/>
      <c r="C1466" s="1098"/>
      <c r="D1466" s="1098"/>
      <c r="E1466" s="1440"/>
      <c r="F1466" s="1440"/>
      <c r="G1466" s="1440"/>
      <c r="H1466" s="1441"/>
    </row>
    <row r="1467" spans="1:9" ht="17.100000000000001" customHeight="1">
      <c r="A1467" s="1394"/>
      <c r="B1467" s="2173"/>
      <c r="C1467" s="2198" t="s">
        <v>602</v>
      </c>
      <c r="D1467" s="2198"/>
      <c r="E1467" s="1543">
        <f t="shared" ref="E1467:G1467" si="355">SUM(E1468:E1477)</f>
        <v>9900</v>
      </c>
      <c r="F1467" s="1543">
        <f t="shared" si="355"/>
        <v>5500</v>
      </c>
      <c r="G1467" s="1543">
        <f t="shared" si="355"/>
        <v>4706</v>
      </c>
      <c r="H1467" s="1544">
        <f t="shared" si="353"/>
        <v>0.85563636363636364</v>
      </c>
    </row>
    <row r="1468" spans="1:9" ht="15.75" customHeight="1">
      <c r="A1468" s="1394"/>
      <c r="B1468" s="2173"/>
      <c r="C1468" s="1552" t="s">
        <v>603</v>
      </c>
      <c r="D1468" s="1553" t="s">
        <v>604</v>
      </c>
      <c r="E1468" s="1559">
        <v>8400</v>
      </c>
      <c r="F1468" s="1559">
        <v>5500</v>
      </c>
      <c r="G1468" s="1559">
        <v>4706</v>
      </c>
      <c r="H1468" s="1560">
        <f t="shared" si="353"/>
        <v>0.85563636363636364</v>
      </c>
      <c r="I1468" s="1037"/>
    </row>
    <row r="1469" spans="1:9" ht="17.100000000000001" hidden="1" customHeight="1">
      <c r="A1469" s="1394"/>
      <c r="B1469" s="2173"/>
      <c r="C1469" s="1573"/>
      <c r="D1469" s="1574" t="s">
        <v>902</v>
      </c>
      <c r="E1469" s="1205"/>
      <c r="F1469" s="1205"/>
      <c r="G1469" s="1205"/>
      <c r="H1469" s="1206" t="e">
        <f t="shared" si="353"/>
        <v>#DIV/0!</v>
      </c>
      <c r="I1469" s="1037"/>
    </row>
    <row r="1470" spans="1:9" ht="17.100000000000001" hidden="1" customHeight="1">
      <c r="A1470" s="1394"/>
      <c r="B1470" s="2173"/>
      <c r="C1470" s="2204" t="s">
        <v>560</v>
      </c>
      <c r="D1470" s="2204"/>
      <c r="E1470" s="1083"/>
      <c r="F1470" s="1083"/>
      <c r="G1470" s="1083"/>
      <c r="H1470" s="1084" t="e">
        <f t="shared" si="353"/>
        <v>#DIV/0!</v>
      </c>
      <c r="I1470" s="1037"/>
    </row>
    <row r="1471" spans="1:9" ht="17.100000000000001" hidden="1" customHeight="1">
      <c r="A1471" s="1394"/>
      <c r="B1471" s="2173"/>
      <c r="C1471" s="2158" t="s">
        <v>647</v>
      </c>
      <c r="D1471" s="2158"/>
      <c r="E1471" s="1079"/>
      <c r="F1471" s="1079"/>
      <c r="G1471" s="1079"/>
      <c r="H1471" s="1080" t="e">
        <f t="shared" si="353"/>
        <v>#DIV/0!</v>
      </c>
      <c r="I1471" s="1037"/>
    </row>
    <row r="1472" spans="1:9" ht="36.75" hidden="1" customHeight="1">
      <c r="A1472" s="1394"/>
      <c r="B1472" s="2173"/>
      <c r="C1472" s="1552" t="s">
        <v>508</v>
      </c>
      <c r="D1472" s="1553" t="s">
        <v>682</v>
      </c>
      <c r="E1472" s="1079"/>
      <c r="F1472" s="1079"/>
      <c r="G1472" s="1079"/>
      <c r="H1472" s="1080" t="e">
        <f t="shared" si="353"/>
        <v>#DIV/0!</v>
      </c>
      <c r="I1472" s="1037"/>
    </row>
    <row r="1473" spans="1:9" ht="17.100000000000001" hidden="1" customHeight="1">
      <c r="A1473" s="1394"/>
      <c r="B1473" s="2173"/>
      <c r="C1473" s="1573"/>
      <c r="D1473" s="1574" t="s">
        <v>903</v>
      </c>
      <c r="E1473" s="1205"/>
      <c r="F1473" s="1205"/>
      <c r="G1473" s="1205"/>
      <c r="H1473" s="1206" t="e">
        <f t="shared" si="353"/>
        <v>#DIV/0!</v>
      </c>
      <c r="I1473" s="1037"/>
    </row>
    <row r="1474" spans="1:9" ht="17.100000000000001" hidden="1" customHeight="1">
      <c r="A1474" s="1394"/>
      <c r="B1474" s="2173"/>
      <c r="C1474" s="2204" t="s">
        <v>560</v>
      </c>
      <c r="D1474" s="2204"/>
      <c r="E1474" s="1083"/>
      <c r="F1474" s="1083"/>
      <c r="G1474" s="1083"/>
      <c r="H1474" s="1084" t="e">
        <f t="shared" si="353"/>
        <v>#DIV/0!</v>
      </c>
      <c r="I1474" s="1037"/>
    </row>
    <row r="1475" spans="1:9" ht="17.100000000000001" hidden="1" customHeight="1">
      <c r="A1475" s="1394"/>
      <c r="B1475" s="2173"/>
      <c r="C1475" s="2158" t="s">
        <v>647</v>
      </c>
      <c r="D1475" s="2158"/>
      <c r="E1475" s="1079"/>
      <c r="F1475" s="1079"/>
      <c r="G1475" s="1079"/>
      <c r="H1475" s="1080" t="e">
        <f t="shared" si="353"/>
        <v>#DIV/0!</v>
      </c>
      <c r="I1475" s="1037"/>
    </row>
    <row r="1476" spans="1:9" ht="0.75" hidden="1" customHeight="1">
      <c r="A1476" s="1394"/>
      <c r="B1476" s="2173"/>
      <c r="C1476" s="1552" t="s">
        <v>508</v>
      </c>
      <c r="D1476" s="1553" t="s">
        <v>682</v>
      </c>
      <c r="E1476" s="1079"/>
      <c r="F1476" s="1079"/>
      <c r="G1476" s="1079"/>
      <c r="H1476" s="1080" t="e">
        <f t="shared" si="353"/>
        <v>#DIV/0!</v>
      </c>
      <c r="I1476" s="1037"/>
    </row>
    <row r="1477" spans="1:9" ht="17.25" customHeight="1">
      <c r="A1477" s="1394"/>
      <c r="B1477" s="2173"/>
      <c r="C1477" s="1552" t="s">
        <v>750</v>
      </c>
      <c r="D1477" s="1553" t="s">
        <v>590</v>
      </c>
      <c r="E1477" s="1079">
        <v>1500</v>
      </c>
      <c r="F1477" s="1079">
        <v>0</v>
      </c>
      <c r="G1477" s="1079">
        <v>0</v>
      </c>
      <c r="H1477" s="1080"/>
      <c r="I1477" s="1037"/>
    </row>
    <row r="1478" spans="1:9" ht="17.25" customHeight="1">
      <c r="A1478" s="1394"/>
      <c r="B1478" s="2173"/>
      <c r="C1478" s="1098"/>
      <c r="D1478" s="1098"/>
      <c r="E1478" s="1440"/>
      <c r="F1478" s="1440"/>
      <c r="G1478" s="1440"/>
      <c r="H1478" s="1441"/>
      <c r="I1478" s="1037"/>
    </row>
    <row r="1479" spans="1:9" ht="17.25" customHeight="1">
      <c r="A1479" s="1394"/>
      <c r="B1479" s="2173"/>
      <c r="C1479" s="2159" t="s">
        <v>605</v>
      </c>
      <c r="D1479" s="2159"/>
      <c r="E1479" s="1083">
        <f t="shared" ref="E1479:G1479" si="356">E1480</f>
        <v>79000</v>
      </c>
      <c r="F1479" s="1083">
        <f t="shared" si="356"/>
        <v>0</v>
      </c>
      <c r="G1479" s="1083">
        <f t="shared" si="356"/>
        <v>0</v>
      </c>
      <c r="H1479" s="1084"/>
      <c r="I1479" s="1037"/>
    </row>
    <row r="1480" spans="1:9" ht="17.25" customHeight="1">
      <c r="A1480" s="1394"/>
      <c r="B1480" s="2173"/>
      <c r="C1480" s="2161" t="s">
        <v>606</v>
      </c>
      <c r="D1480" s="2161"/>
      <c r="E1480" s="1079">
        <f t="shared" ref="E1480:G1480" si="357">SUM(E1481)</f>
        <v>79000</v>
      </c>
      <c r="F1480" s="1079">
        <f t="shared" si="357"/>
        <v>0</v>
      </c>
      <c r="G1480" s="1079">
        <f t="shared" si="357"/>
        <v>0</v>
      </c>
      <c r="H1480" s="1080"/>
      <c r="I1480" s="1037"/>
    </row>
    <row r="1481" spans="1:9" ht="17.25" customHeight="1" thickBot="1">
      <c r="A1481" s="1394"/>
      <c r="B1481" s="2173"/>
      <c r="C1481" s="1545" t="s">
        <v>144</v>
      </c>
      <c r="D1481" s="1546" t="s">
        <v>650</v>
      </c>
      <c r="E1481" s="1543">
        <v>79000</v>
      </c>
      <c r="F1481" s="1543">
        <v>0</v>
      </c>
      <c r="G1481" s="1543">
        <v>0</v>
      </c>
      <c r="H1481" s="1544"/>
      <c r="I1481" s="1037"/>
    </row>
    <row r="1482" spans="1:9" ht="17.25" customHeight="1" thickBot="1">
      <c r="A1482" s="1394"/>
      <c r="B1482" s="1144" t="s">
        <v>33</v>
      </c>
      <c r="C1482" s="1145"/>
      <c r="D1482" s="1146" t="s">
        <v>64</v>
      </c>
      <c r="E1482" s="1147">
        <f>E1483</f>
        <v>0</v>
      </c>
      <c r="F1482" s="1147">
        <f t="shared" ref="F1482:G1482" si="358">F1483</f>
        <v>170700</v>
      </c>
      <c r="G1482" s="1147">
        <f t="shared" si="358"/>
        <v>168255</v>
      </c>
      <c r="H1482" s="1148">
        <f t="shared" ref="H1482:H1485" si="359">G1482/F1482</f>
        <v>0.98567662565905101</v>
      </c>
      <c r="I1482" s="1037"/>
    </row>
    <row r="1483" spans="1:9" ht="17.25" customHeight="1">
      <c r="A1483" s="1394"/>
      <c r="B1483" s="1395"/>
      <c r="C1483" s="2159" t="s">
        <v>605</v>
      </c>
      <c r="D1483" s="2159"/>
      <c r="E1483" s="1083">
        <f t="shared" ref="E1483:G1483" si="360">E1484</f>
        <v>0</v>
      </c>
      <c r="F1483" s="1083">
        <f t="shared" si="360"/>
        <v>170700</v>
      </c>
      <c r="G1483" s="1083">
        <f t="shared" si="360"/>
        <v>168255</v>
      </c>
      <c r="H1483" s="1084">
        <f t="shared" si="359"/>
        <v>0.98567662565905101</v>
      </c>
      <c r="I1483" s="1037"/>
    </row>
    <row r="1484" spans="1:9" ht="17.25" customHeight="1">
      <c r="A1484" s="1394"/>
      <c r="B1484" s="1395"/>
      <c r="C1484" s="2161" t="s">
        <v>606</v>
      </c>
      <c r="D1484" s="2161"/>
      <c r="E1484" s="1079">
        <f t="shared" ref="E1484:G1484" si="361">SUM(E1485)</f>
        <v>0</v>
      </c>
      <c r="F1484" s="1079">
        <f t="shared" si="361"/>
        <v>170700</v>
      </c>
      <c r="G1484" s="1079">
        <f t="shared" si="361"/>
        <v>168255</v>
      </c>
      <c r="H1484" s="1080">
        <f t="shared" si="359"/>
        <v>0.98567662565905101</v>
      </c>
      <c r="I1484" s="1037"/>
    </row>
    <row r="1485" spans="1:9" ht="40.5" customHeight="1" thickBot="1">
      <c r="A1485" s="1394"/>
      <c r="B1485" s="1395"/>
      <c r="C1485" s="1545" t="s">
        <v>194</v>
      </c>
      <c r="D1485" s="1546" t="s">
        <v>787</v>
      </c>
      <c r="E1485" s="1543">
        <v>0</v>
      </c>
      <c r="F1485" s="1543">
        <v>170700</v>
      </c>
      <c r="G1485" s="1543">
        <v>168255</v>
      </c>
      <c r="H1485" s="1544">
        <f t="shared" si="359"/>
        <v>0.98567662565905101</v>
      </c>
      <c r="I1485" s="1037"/>
    </row>
    <row r="1486" spans="1:9" ht="17.100000000000001" customHeight="1" thickBot="1">
      <c r="A1486" s="1394"/>
      <c r="B1486" s="1144" t="s">
        <v>904</v>
      </c>
      <c r="C1486" s="1145"/>
      <c r="D1486" s="1146" t="s">
        <v>11</v>
      </c>
      <c r="E1486" s="1147">
        <f>E1487+E1548</f>
        <v>20756470</v>
      </c>
      <c r="F1486" s="1147">
        <f>F1487+F1548</f>
        <v>24352931</v>
      </c>
      <c r="G1486" s="1147">
        <f>G1487+G1548</f>
        <v>20425309</v>
      </c>
      <c r="H1486" s="1148">
        <f t="shared" si="353"/>
        <v>0.83872076835433074</v>
      </c>
      <c r="I1486" s="1037"/>
    </row>
    <row r="1487" spans="1:9" ht="17.100000000000001" customHeight="1">
      <c r="A1487" s="1394"/>
      <c r="B1487" s="1575"/>
      <c r="C1487" s="2112" t="s">
        <v>560</v>
      </c>
      <c r="D1487" s="2112"/>
      <c r="E1487" s="1063">
        <f>E1488+E1495</f>
        <v>19875070</v>
      </c>
      <c r="F1487" s="1063">
        <f>F1488+F1495</f>
        <v>23405943</v>
      </c>
      <c r="G1487" s="1063">
        <f>G1488+G1495</f>
        <v>19562470</v>
      </c>
      <c r="H1487" s="1064">
        <f t="shared" si="353"/>
        <v>0.83579072204012461</v>
      </c>
      <c r="I1487" s="1037"/>
    </row>
    <row r="1488" spans="1:9" ht="17.100000000000001" customHeight="1">
      <c r="A1488" s="1394"/>
      <c r="B1488" s="1575"/>
      <c r="C1488" s="2158" t="s">
        <v>647</v>
      </c>
      <c r="D1488" s="2158"/>
      <c r="E1488" s="1079">
        <f>SUM(E1489:E1493)</f>
        <v>19008054</v>
      </c>
      <c r="F1488" s="1079">
        <f>SUM(F1489:F1493)</f>
        <v>19010364</v>
      </c>
      <c r="G1488" s="1079">
        <f>SUM(G1489:G1493)</f>
        <v>16113907</v>
      </c>
      <c r="H1488" s="1080">
        <f t="shared" si="353"/>
        <v>0.84763800419602697</v>
      </c>
    </row>
    <row r="1489" spans="1:9" ht="59.25" customHeight="1">
      <c r="A1489" s="1394"/>
      <c r="B1489" s="1575"/>
      <c r="C1489" s="1552" t="s">
        <v>508</v>
      </c>
      <c r="D1489" s="1553" t="s">
        <v>665</v>
      </c>
      <c r="E1489" s="1079">
        <v>13706437</v>
      </c>
      <c r="F1489" s="1079">
        <v>15591319</v>
      </c>
      <c r="G1489" s="1079">
        <v>13020904</v>
      </c>
      <c r="H1489" s="1080">
        <f t="shared" si="353"/>
        <v>0.83513806625340681</v>
      </c>
    </row>
    <row r="1490" spans="1:9" ht="59.25" customHeight="1">
      <c r="A1490" s="1394"/>
      <c r="B1490" s="1575"/>
      <c r="C1490" s="1552" t="s">
        <v>359</v>
      </c>
      <c r="D1490" s="1143" t="s">
        <v>619</v>
      </c>
      <c r="E1490" s="1079">
        <v>5301617</v>
      </c>
      <c r="F1490" s="1079">
        <v>2755971</v>
      </c>
      <c r="G1490" s="1079">
        <v>2429934</v>
      </c>
      <c r="H1490" s="1080">
        <f t="shared" si="353"/>
        <v>0.88169795690883535</v>
      </c>
      <c r="I1490" s="1576"/>
    </row>
    <row r="1491" spans="1:9" ht="42.75" customHeight="1">
      <c r="A1491" s="1394"/>
      <c r="B1491" s="1575"/>
      <c r="C1491" s="1577" t="s">
        <v>125</v>
      </c>
      <c r="D1491" s="1578" t="s">
        <v>656</v>
      </c>
      <c r="E1491" s="1103">
        <v>0</v>
      </c>
      <c r="F1491" s="1103">
        <v>24600</v>
      </c>
      <c r="G1491" s="1103">
        <v>24600</v>
      </c>
      <c r="H1491" s="1104">
        <f t="shared" si="353"/>
        <v>1</v>
      </c>
    </row>
    <row r="1492" spans="1:9" ht="42.75" customHeight="1">
      <c r="A1492" s="1394"/>
      <c r="B1492" s="1575"/>
      <c r="C1492" s="1555" t="s">
        <v>474</v>
      </c>
      <c r="D1492" s="1579" t="s">
        <v>666</v>
      </c>
      <c r="E1492" s="1103">
        <v>0</v>
      </c>
      <c r="F1492" s="1103">
        <v>689</v>
      </c>
      <c r="G1492" s="1103">
        <v>689</v>
      </c>
      <c r="H1492" s="1104">
        <f t="shared" si="353"/>
        <v>1</v>
      </c>
    </row>
    <row r="1493" spans="1:9" ht="15" customHeight="1">
      <c r="A1493" s="1394"/>
      <c r="B1493" s="1575"/>
      <c r="C1493" s="1555">
        <v>2959</v>
      </c>
      <c r="D1493" s="1580" t="s">
        <v>613</v>
      </c>
      <c r="E1493" s="1103">
        <v>0</v>
      </c>
      <c r="F1493" s="1103">
        <v>637785</v>
      </c>
      <c r="G1493" s="1103">
        <v>637780</v>
      </c>
      <c r="H1493" s="1104">
        <f t="shared" si="353"/>
        <v>0.99999216036752192</v>
      </c>
    </row>
    <row r="1494" spans="1:9">
      <c r="A1494" s="1394"/>
      <c r="B1494" s="1575"/>
      <c r="C1494" s="1581"/>
      <c r="D1494" s="1582"/>
      <c r="E1494" s="1583"/>
      <c r="F1494" s="1583"/>
      <c r="G1494" s="1583"/>
      <c r="H1494" s="1584"/>
    </row>
    <row r="1495" spans="1:9" ht="15.75" customHeight="1">
      <c r="A1495" s="1394"/>
      <c r="B1495" s="1575"/>
      <c r="C1495" s="2158" t="s">
        <v>616</v>
      </c>
      <c r="D1495" s="2186"/>
      <c r="E1495" s="1103">
        <f>SUM(E1496:E1546)</f>
        <v>867016</v>
      </c>
      <c r="F1495" s="1103">
        <f>SUM(F1496:F1546)</f>
        <v>4395579</v>
      </c>
      <c r="G1495" s="1103">
        <f>SUM(G1496:G1546)</f>
        <v>3448563</v>
      </c>
      <c r="H1495" s="1104">
        <f t="shared" si="353"/>
        <v>0.78455261525273468</v>
      </c>
    </row>
    <row r="1496" spans="1:9" ht="53.25" customHeight="1">
      <c r="A1496" s="1394"/>
      <c r="B1496" s="1575"/>
      <c r="C1496" s="1552" t="s">
        <v>456</v>
      </c>
      <c r="D1496" s="1143" t="s">
        <v>619</v>
      </c>
      <c r="E1496" s="1079">
        <v>0</v>
      </c>
      <c r="F1496" s="1079">
        <v>2148941</v>
      </c>
      <c r="G1496" s="1079">
        <v>1642565</v>
      </c>
      <c r="H1496" s="1080">
        <f t="shared" si="353"/>
        <v>0.76436021277457133</v>
      </c>
    </row>
    <row r="1497" spans="1:9" ht="53.25" customHeight="1">
      <c r="A1497" s="1394"/>
      <c r="B1497" s="1575"/>
      <c r="C1497" s="1577" t="s">
        <v>359</v>
      </c>
      <c r="D1497" s="1143" t="s">
        <v>619</v>
      </c>
      <c r="E1497" s="1079">
        <v>0</v>
      </c>
      <c r="F1497" s="1079">
        <v>400823</v>
      </c>
      <c r="G1497" s="1079">
        <v>306373</v>
      </c>
      <c r="H1497" s="1080">
        <f t="shared" si="353"/>
        <v>0.76435982965049409</v>
      </c>
    </row>
    <row r="1498" spans="1:9" ht="15.75" customHeight="1">
      <c r="A1498" s="1394"/>
      <c r="B1498" s="1575"/>
      <c r="C1498" s="1585" t="s">
        <v>905</v>
      </c>
      <c r="D1498" s="1553" t="s">
        <v>758</v>
      </c>
      <c r="E1498" s="1079">
        <v>0</v>
      </c>
      <c r="F1498" s="1079">
        <v>3000</v>
      </c>
      <c r="G1498" s="1079">
        <v>28</v>
      </c>
      <c r="H1498" s="1080">
        <f t="shared" si="353"/>
        <v>9.3333333333333341E-3</v>
      </c>
    </row>
    <row r="1499" spans="1:9" ht="15.75" customHeight="1">
      <c r="A1499" s="1394"/>
      <c r="B1499" s="1575"/>
      <c r="C1499" s="1586" t="s">
        <v>757</v>
      </c>
      <c r="D1499" s="1553" t="s">
        <v>758</v>
      </c>
      <c r="E1499" s="1079">
        <v>6459</v>
      </c>
      <c r="F1499" s="1079">
        <v>0</v>
      </c>
      <c r="G1499" s="1079">
        <v>0</v>
      </c>
      <c r="H1499" s="1080"/>
    </row>
    <row r="1500" spans="1:9" ht="15.75" customHeight="1">
      <c r="A1500" s="1394"/>
      <c r="B1500" s="1575"/>
      <c r="C1500" s="1586" t="s">
        <v>759</v>
      </c>
      <c r="D1500" s="1553" t="s">
        <v>758</v>
      </c>
      <c r="E1500" s="1079">
        <v>1140</v>
      </c>
      <c r="F1500" s="1079">
        <v>0</v>
      </c>
      <c r="G1500" s="1079">
        <v>0</v>
      </c>
      <c r="H1500" s="1080"/>
    </row>
    <row r="1501" spans="1:9" ht="15.75" customHeight="1">
      <c r="A1501" s="1394"/>
      <c r="B1501" s="1575"/>
      <c r="C1501" s="1552" t="s">
        <v>668</v>
      </c>
      <c r="D1501" s="1553" t="s">
        <v>563</v>
      </c>
      <c r="E1501" s="1079">
        <v>178454</v>
      </c>
      <c r="F1501" s="1079">
        <v>368043</v>
      </c>
      <c r="G1501" s="1079">
        <v>335962</v>
      </c>
      <c r="H1501" s="1080">
        <f t="shared" si="353"/>
        <v>0.91283355477484973</v>
      </c>
    </row>
    <row r="1502" spans="1:9" ht="15.75" customHeight="1">
      <c r="A1502" s="1394"/>
      <c r="B1502" s="1575"/>
      <c r="C1502" s="1552" t="s">
        <v>620</v>
      </c>
      <c r="D1502" s="1553" t="s">
        <v>563</v>
      </c>
      <c r="E1502" s="1079">
        <v>79339</v>
      </c>
      <c r="F1502" s="1079">
        <v>79339</v>
      </c>
      <c r="G1502" s="1079">
        <v>77050</v>
      </c>
      <c r="H1502" s="1080">
        <f t="shared" si="353"/>
        <v>0.97114911960070083</v>
      </c>
    </row>
    <row r="1503" spans="1:9" ht="15.75" customHeight="1">
      <c r="A1503" s="1394"/>
      <c r="B1503" s="1575"/>
      <c r="C1503" s="1552" t="s">
        <v>621</v>
      </c>
      <c r="D1503" s="1553" t="s">
        <v>563</v>
      </c>
      <c r="E1503" s="1079">
        <v>99761</v>
      </c>
      <c r="F1503" s="1079">
        <v>136344</v>
      </c>
      <c r="G1503" s="1079">
        <v>120708</v>
      </c>
      <c r="H1503" s="1080">
        <f t="shared" si="353"/>
        <v>0.88531948600598487</v>
      </c>
    </row>
    <row r="1504" spans="1:9" ht="15.75" customHeight="1">
      <c r="A1504" s="1394"/>
      <c r="B1504" s="1575"/>
      <c r="C1504" s="1552" t="s">
        <v>906</v>
      </c>
      <c r="D1504" s="1553" t="s">
        <v>565</v>
      </c>
      <c r="E1504" s="1079">
        <v>12526</v>
      </c>
      <c r="F1504" s="1079">
        <v>12526</v>
      </c>
      <c r="G1504" s="1079">
        <v>12345</v>
      </c>
      <c r="H1504" s="1080">
        <f t="shared" si="353"/>
        <v>0.98555005588376177</v>
      </c>
      <c r="I1504" s="1037"/>
    </row>
    <row r="1505" spans="1:9" ht="15.75" customHeight="1">
      <c r="A1505" s="1394"/>
      <c r="B1505" s="1575"/>
      <c r="C1505" s="1552" t="s">
        <v>669</v>
      </c>
      <c r="D1505" s="1553" t="s">
        <v>566</v>
      </c>
      <c r="E1505" s="1079">
        <v>32333</v>
      </c>
      <c r="F1505" s="1079">
        <v>73037</v>
      </c>
      <c r="G1505" s="1079">
        <v>66975</v>
      </c>
      <c r="H1505" s="1080">
        <f t="shared" si="353"/>
        <v>0.9170009721100264</v>
      </c>
      <c r="I1505" s="1037"/>
    </row>
    <row r="1506" spans="1:9" ht="15.75" customHeight="1">
      <c r="A1506" s="1394"/>
      <c r="B1506" s="1575"/>
      <c r="C1506" s="1552" t="s">
        <v>624</v>
      </c>
      <c r="D1506" s="1553" t="s">
        <v>566</v>
      </c>
      <c r="E1506" s="1079">
        <v>13433</v>
      </c>
      <c r="F1506" s="1079">
        <v>13433</v>
      </c>
      <c r="G1506" s="1079">
        <v>12543</v>
      </c>
      <c r="H1506" s="1080">
        <f t="shared" si="353"/>
        <v>0.93374525422467058</v>
      </c>
      <c r="I1506" s="1037"/>
    </row>
    <row r="1507" spans="1:9" ht="15.75" customHeight="1">
      <c r="A1507" s="1394"/>
      <c r="B1507" s="1575"/>
      <c r="C1507" s="1552" t="s">
        <v>625</v>
      </c>
      <c r="D1507" s="1553" t="s">
        <v>566</v>
      </c>
      <c r="E1507" s="1079">
        <v>16889</v>
      </c>
      <c r="F1507" s="1079">
        <v>24687</v>
      </c>
      <c r="G1507" s="1079">
        <v>21700</v>
      </c>
      <c r="H1507" s="1080">
        <f t="shared" si="353"/>
        <v>0.87900514440798805</v>
      </c>
      <c r="I1507" s="1037"/>
    </row>
    <row r="1508" spans="1:9" ht="15.75" customHeight="1">
      <c r="A1508" s="1394"/>
      <c r="B1508" s="1575"/>
      <c r="C1508" s="1552" t="s">
        <v>670</v>
      </c>
      <c r="D1508" s="1553" t="s">
        <v>567</v>
      </c>
      <c r="E1508" s="1079">
        <v>4679</v>
      </c>
      <c r="F1508" s="1079">
        <v>10571</v>
      </c>
      <c r="G1508" s="1079">
        <v>9429</v>
      </c>
      <c r="H1508" s="1080">
        <f t="shared" si="353"/>
        <v>0.89196859332135081</v>
      </c>
      <c r="I1508" s="1037"/>
    </row>
    <row r="1509" spans="1:9" ht="15.75" customHeight="1">
      <c r="A1509" s="1394"/>
      <c r="B1509" s="1575"/>
      <c r="C1509" s="1552" t="s">
        <v>626</v>
      </c>
      <c r="D1509" s="1553" t="s">
        <v>567</v>
      </c>
      <c r="E1509" s="1079">
        <v>1943</v>
      </c>
      <c r="F1509" s="1079">
        <v>1943</v>
      </c>
      <c r="G1509" s="1079">
        <v>1815</v>
      </c>
      <c r="H1509" s="1080">
        <f t="shared" si="353"/>
        <v>0.93412249099330935</v>
      </c>
      <c r="I1509" s="1037"/>
    </row>
    <row r="1510" spans="1:9" ht="15.75" customHeight="1">
      <c r="A1510" s="1394"/>
      <c r="B1510" s="1575"/>
      <c r="C1510" s="1552" t="s">
        <v>627</v>
      </c>
      <c r="D1510" s="1553" t="s">
        <v>567</v>
      </c>
      <c r="E1510" s="1079">
        <v>2444</v>
      </c>
      <c r="F1510" s="1079">
        <v>3572</v>
      </c>
      <c r="G1510" s="1079">
        <v>2040</v>
      </c>
      <c r="H1510" s="1080">
        <f t="shared" si="353"/>
        <v>0.57110862262038076</v>
      </c>
      <c r="I1510" s="1037"/>
    </row>
    <row r="1511" spans="1:9" ht="15.75" customHeight="1">
      <c r="A1511" s="1394"/>
      <c r="B1511" s="1575"/>
      <c r="C1511" s="1552" t="s">
        <v>738</v>
      </c>
      <c r="D1511" s="1553" t="s">
        <v>569</v>
      </c>
      <c r="E1511" s="1079">
        <v>0</v>
      </c>
      <c r="F1511" s="1079">
        <v>226145</v>
      </c>
      <c r="G1511" s="1079">
        <v>217791</v>
      </c>
      <c r="H1511" s="1080">
        <f t="shared" si="353"/>
        <v>0.96305909925048083</v>
      </c>
      <c r="I1511" s="1037"/>
    </row>
    <row r="1512" spans="1:9" ht="15.75" customHeight="1">
      <c r="A1512" s="1394"/>
      <c r="B1512" s="1575"/>
      <c r="C1512" s="1552" t="s">
        <v>629</v>
      </c>
      <c r="D1512" s="1553" t="s">
        <v>569</v>
      </c>
      <c r="E1512" s="1079">
        <v>0</v>
      </c>
      <c r="F1512" s="1079">
        <v>41286</v>
      </c>
      <c r="G1512" s="1079">
        <v>39821</v>
      </c>
      <c r="H1512" s="1080">
        <f t="shared" si="353"/>
        <v>0.96451581649953977</v>
      </c>
      <c r="I1512" s="1037"/>
    </row>
    <row r="1513" spans="1:9" ht="15.75" customHeight="1">
      <c r="A1513" s="1394"/>
      <c r="B1513" s="1575"/>
      <c r="C1513" s="1552" t="s">
        <v>671</v>
      </c>
      <c r="D1513" s="1553" t="s">
        <v>573</v>
      </c>
      <c r="E1513" s="1079">
        <v>0</v>
      </c>
      <c r="F1513" s="1079">
        <v>29113</v>
      </c>
      <c r="G1513" s="1079">
        <v>25664</v>
      </c>
      <c r="H1513" s="1080">
        <f t="shared" si="353"/>
        <v>0.88153058770995774</v>
      </c>
      <c r="I1513" s="1037"/>
    </row>
    <row r="1514" spans="1:9" ht="15.75" customHeight="1">
      <c r="A1514" s="1394"/>
      <c r="B1514" s="1575"/>
      <c r="C1514" s="1552" t="s">
        <v>634</v>
      </c>
      <c r="D1514" s="1553" t="s">
        <v>573</v>
      </c>
      <c r="E1514" s="1079">
        <v>0</v>
      </c>
      <c r="F1514" s="1079">
        <v>4591</v>
      </c>
      <c r="G1514" s="1079">
        <v>4040</v>
      </c>
      <c r="H1514" s="1080">
        <f t="shared" si="353"/>
        <v>0.87998257460248308</v>
      </c>
      <c r="I1514" s="1037"/>
    </row>
    <row r="1515" spans="1:9" ht="15.75" customHeight="1">
      <c r="A1515" s="1394"/>
      <c r="B1515" s="1575"/>
      <c r="C1515" s="1552" t="s">
        <v>847</v>
      </c>
      <c r="D1515" s="1553" t="s">
        <v>575</v>
      </c>
      <c r="E1515" s="1079">
        <v>0</v>
      </c>
      <c r="F1515" s="1079">
        <v>4520</v>
      </c>
      <c r="G1515" s="1079">
        <v>4519</v>
      </c>
      <c r="H1515" s="1080">
        <f t="shared" si="353"/>
        <v>0.99977876106194685</v>
      </c>
      <c r="I1515" s="1037"/>
    </row>
    <row r="1516" spans="1:9" ht="15.75" customHeight="1">
      <c r="A1516" s="1394"/>
      <c r="B1516" s="1575"/>
      <c r="C1516" s="1552" t="s">
        <v>785</v>
      </c>
      <c r="D1516" s="1553" t="s">
        <v>575</v>
      </c>
      <c r="E1516" s="1079">
        <v>0</v>
      </c>
      <c r="F1516" s="1079">
        <v>843</v>
      </c>
      <c r="G1516" s="1079">
        <v>843</v>
      </c>
      <c r="H1516" s="1080">
        <f t="shared" si="353"/>
        <v>1</v>
      </c>
      <c r="I1516" s="1037"/>
    </row>
    <row r="1517" spans="1:9" ht="15.75" customHeight="1">
      <c r="A1517" s="1394"/>
      <c r="B1517" s="1575"/>
      <c r="C1517" s="1552" t="s">
        <v>848</v>
      </c>
      <c r="D1517" s="1553" t="s">
        <v>577</v>
      </c>
      <c r="E1517" s="1079">
        <v>0</v>
      </c>
      <c r="F1517" s="1079">
        <v>3371</v>
      </c>
      <c r="G1517" s="1079">
        <v>888</v>
      </c>
      <c r="H1517" s="1080">
        <f t="shared" si="353"/>
        <v>0.26342331652328688</v>
      </c>
      <c r="I1517" s="1037"/>
    </row>
    <row r="1518" spans="1:9" ht="15.75" customHeight="1">
      <c r="A1518" s="1394"/>
      <c r="B1518" s="1575"/>
      <c r="C1518" s="1552" t="s">
        <v>761</v>
      </c>
      <c r="D1518" s="1553" t="s">
        <v>577</v>
      </c>
      <c r="E1518" s="1079">
        <v>0</v>
      </c>
      <c r="F1518" s="1079">
        <v>629</v>
      </c>
      <c r="G1518" s="1079">
        <v>156</v>
      </c>
      <c r="H1518" s="1080">
        <f t="shared" si="353"/>
        <v>0.24801271860095389</v>
      </c>
      <c r="I1518" s="1037"/>
    </row>
    <row r="1519" spans="1:9" ht="15.75" customHeight="1">
      <c r="A1519" s="1394"/>
      <c r="B1519" s="1575"/>
      <c r="C1519" s="1552" t="s">
        <v>907</v>
      </c>
      <c r="D1519" s="1553" t="s">
        <v>578</v>
      </c>
      <c r="E1519" s="1079">
        <v>0</v>
      </c>
      <c r="F1519" s="1079">
        <v>126</v>
      </c>
      <c r="G1519" s="1079">
        <v>0</v>
      </c>
      <c r="H1519" s="1080">
        <f t="shared" si="353"/>
        <v>0</v>
      </c>
      <c r="I1519" s="1037"/>
    </row>
    <row r="1520" spans="1:9" ht="15.75" customHeight="1">
      <c r="A1520" s="1394"/>
      <c r="B1520" s="1575"/>
      <c r="C1520" s="1552" t="s">
        <v>636</v>
      </c>
      <c r="D1520" s="1553" t="s">
        <v>578</v>
      </c>
      <c r="E1520" s="1079">
        <v>0</v>
      </c>
      <c r="F1520" s="1079">
        <v>24</v>
      </c>
      <c r="G1520" s="1079">
        <v>0</v>
      </c>
      <c r="H1520" s="1080">
        <f t="shared" si="353"/>
        <v>0</v>
      </c>
      <c r="I1520" s="1037"/>
    </row>
    <row r="1521" spans="1:9" ht="15.75" customHeight="1">
      <c r="A1521" s="1394"/>
      <c r="B1521" s="1575"/>
      <c r="C1521" s="1552" t="s">
        <v>908</v>
      </c>
      <c r="D1521" s="1553" t="s">
        <v>580</v>
      </c>
      <c r="E1521" s="1079">
        <v>0</v>
      </c>
      <c r="F1521" s="1079">
        <v>632</v>
      </c>
      <c r="G1521" s="1079">
        <v>258</v>
      </c>
      <c r="H1521" s="1080">
        <f t="shared" ref="H1521:H1592" si="362">G1521/F1521</f>
        <v>0.40822784810126583</v>
      </c>
      <c r="I1521" s="1037"/>
    </row>
    <row r="1522" spans="1:9" ht="15.75" customHeight="1">
      <c r="A1522" s="1394"/>
      <c r="B1522" s="1575"/>
      <c r="C1522" s="1552" t="s">
        <v>763</v>
      </c>
      <c r="D1522" s="1553" t="s">
        <v>580</v>
      </c>
      <c r="E1522" s="1079">
        <v>0</v>
      </c>
      <c r="F1522" s="1079">
        <v>118</v>
      </c>
      <c r="G1522" s="1079">
        <v>48</v>
      </c>
      <c r="H1522" s="1080">
        <f t="shared" si="362"/>
        <v>0.40677966101694918</v>
      </c>
      <c r="I1522" s="1037"/>
    </row>
    <row r="1523" spans="1:9" ht="15.75" customHeight="1">
      <c r="A1523" s="1394"/>
      <c r="B1523" s="1575"/>
      <c r="C1523" s="1552" t="s">
        <v>672</v>
      </c>
      <c r="D1523" s="1553" t="s">
        <v>581</v>
      </c>
      <c r="E1523" s="1079">
        <v>398962</v>
      </c>
      <c r="F1523" s="1079">
        <v>619102</v>
      </c>
      <c r="G1523" s="1079">
        <v>448792</v>
      </c>
      <c r="H1523" s="1080">
        <f t="shared" si="362"/>
        <v>0.72490801192695231</v>
      </c>
      <c r="I1523" s="1037"/>
    </row>
    <row r="1524" spans="1:9" ht="15.75" customHeight="1">
      <c r="A1524" s="1394"/>
      <c r="B1524" s="1575"/>
      <c r="C1524" s="1552" t="s">
        <v>637</v>
      </c>
      <c r="D1524" s="1553" t="s">
        <v>581</v>
      </c>
      <c r="E1524" s="1079">
        <v>0</v>
      </c>
      <c r="F1524" s="1079">
        <v>6459</v>
      </c>
      <c r="G1524" s="1079">
        <v>6047</v>
      </c>
      <c r="H1524" s="1080">
        <f t="shared" si="362"/>
        <v>0.93621303607369566</v>
      </c>
      <c r="I1524" s="1037"/>
    </row>
    <row r="1525" spans="1:9" ht="15.75" customHeight="1">
      <c r="A1525" s="1394"/>
      <c r="B1525" s="1575"/>
      <c r="C1525" s="1552" t="s">
        <v>638</v>
      </c>
      <c r="D1525" s="1553" t="s">
        <v>581</v>
      </c>
      <c r="E1525" s="1079">
        <v>5620</v>
      </c>
      <c r="F1525" s="1079">
        <v>55609</v>
      </c>
      <c r="G1525" s="1079">
        <v>38383</v>
      </c>
      <c r="H1525" s="1080">
        <f t="shared" si="362"/>
        <v>0.69022999874121094</v>
      </c>
      <c r="I1525" s="1037"/>
    </row>
    <row r="1526" spans="1:9" ht="15.75" customHeight="1">
      <c r="A1526" s="1394"/>
      <c r="B1526" s="1575"/>
      <c r="C1526" s="1545" t="s">
        <v>852</v>
      </c>
      <c r="D1526" s="1546" t="s">
        <v>583</v>
      </c>
      <c r="E1526" s="1079">
        <v>0</v>
      </c>
      <c r="F1526" s="1079">
        <v>2360</v>
      </c>
      <c r="G1526" s="1079">
        <v>603</v>
      </c>
      <c r="H1526" s="1080">
        <f t="shared" si="362"/>
        <v>0.25550847457627118</v>
      </c>
      <c r="I1526" s="1037"/>
    </row>
    <row r="1527" spans="1:9" ht="15.75" customHeight="1">
      <c r="A1527" s="1394"/>
      <c r="B1527" s="1575"/>
      <c r="C1527" s="1545" t="s">
        <v>786</v>
      </c>
      <c r="D1527" s="1546" t="s">
        <v>583</v>
      </c>
      <c r="E1527" s="1079">
        <v>0</v>
      </c>
      <c r="F1527" s="1079">
        <v>440</v>
      </c>
      <c r="G1527" s="1079">
        <v>113</v>
      </c>
      <c r="H1527" s="1080">
        <f t="shared" si="362"/>
        <v>0.25681818181818183</v>
      </c>
      <c r="I1527" s="1037"/>
    </row>
    <row r="1528" spans="1:9" ht="15.75" customHeight="1">
      <c r="A1528" s="1394"/>
      <c r="B1528" s="1575"/>
      <c r="C1528" s="1545" t="s">
        <v>741</v>
      </c>
      <c r="D1528" s="1546" t="s">
        <v>740</v>
      </c>
      <c r="E1528" s="1079">
        <v>2955</v>
      </c>
      <c r="F1528" s="1079">
        <v>2955</v>
      </c>
      <c r="G1528" s="1079">
        <v>0</v>
      </c>
      <c r="H1528" s="1080">
        <f t="shared" si="362"/>
        <v>0</v>
      </c>
      <c r="I1528" s="1037"/>
    </row>
    <row r="1529" spans="1:9" ht="15.75" customHeight="1">
      <c r="A1529" s="1394"/>
      <c r="B1529" s="1575"/>
      <c r="C1529" s="1545" t="s">
        <v>742</v>
      </c>
      <c r="D1529" s="1587" t="s">
        <v>740</v>
      </c>
      <c r="E1529" s="1079">
        <v>521</v>
      </c>
      <c r="F1529" s="1079">
        <v>521</v>
      </c>
      <c r="G1529" s="1079">
        <v>0</v>
      </c>
      <c r="H1529" s="1080">
        <f t="shared" si="362"/>
        <v>0</v>
      </c>
      <c r="I1529" s="1037"/>
    </row>
    <row r="1530" spans="1:9" ht="15.75" customHeight="1">
      <c r="A1530" s="1394"/>
      <c r="B1530" s="1575"/>
      <c r="C1530" s="1545" t="s">
        <v>743</v>
      </c>
      <c r="D1530" s="1588" t="s">
        <v>584</v>
      </c>
      <c r="E1530" s="1079">
        <v>0</v>
      </c>
      <c r="F1530" s="1079">
        <v>73432</v>
      </c>
      <c r="G1530" s="1079">
        <v>30685</v>
      </c>
      <c r="H1530" s="1080">
        <f t="shared" si="362"/>
        <v>0.41786959363765114</v>
      </c>
      <c r="I1530" s="1037"/>
    </row>
    <row r="1531" spans="1:9" ht="15.75" customHeight="1">
      <c r="A1531" s="1394"/>
      <c r="B1531" s="1575"/>
      <c r="C1531" s="1545" t="s">
        <v>640</v>
      </c>
      <c r="D1531" s="1588" t="s">
        <v>584</v>
      </c>
      <c r="E1531" s="1103">
        <v>0</v>
      </c>
      <c r="F1531" s="1103">
        <v>7168</v>
      </c>
      <c r="G1531" s="1103">
        <v>5723</v>
      </c>
      <c r="H1531" s="1104">
        <f t="shared" si="362"/>
        <v>0.7984095982142857</v>
      </c>
      <c r="I1531" s="1037"/>
    </row>
    <row r="1532" spans="1:9" ht="15.75" customHeight="1">
      <c r="A1532" s="1394"/>
      <c r="B1532" s="1575"/>
      <c r="C1532" s="1545" t="s">
        <v>909</v>
      </c>
      <c r="D1532" s="1102" t="s">
        <v>586</v>
      </c>
      <c r="E1532" s="1103">
        <v>0</v>
      </c>
      <c r="F1532" s="1103">
        <v>1985</v>
      </c>
      <c r="G1532" s="1103">
        <v>111</v>
      </c>
      <c r="H1532" s="1104">
        <f t="shared" si="362"/>
        <v>5.5919395465994962E-2</v>
      </c>
      <c r="I1532" s="1037"/>
    </row>
    <row r="1533" spans="1:9" ht="15.75" customHeight="1">
      <c r="A1533" s="1394"/>
      <c r="B1533" s="1575"/>
      <c r="C1533" s="1545" t="s">
        <v>767</v>
      </c>
      <c r="D1533" s="1102" t="s">
        <v>586</v>
      </c>
      <c r="E1533" s="1103">
        <v>0</v>
      </c>
      <c r="F1533" s="1103">
        <v>370</v>
      </c>
      <c r="G1533" s="1079">
        <v>21</v>
      </c>
      <c r="H1533" s="1080">
        <f t="shared" si="362"/>
        <v>5.675675675675676E-2</v>
      </c>
      <c r="I1533" s="1037"/>
    </row>
    <row r="1534" spans="1:9" ht="15.75" customHeight="1">
      <c r="A1534" s="1394"/>
      <c r="B1534" s="1575"/>
      <c r="C1534" s="1545" t="s">
        <v>673</v>
      </c>
      <c r="D1534" s="1126" t="s">
        <v>588</v>
      </c>
      <c r="E1534" s="1103">
        <v>0</v>
      </c>
      <c r="F1534" s="1103">
        <v>15416</v>
      </c>
      <c r="G1534" s="1103">
        <v>3829</v>
      </c>
      <c r="H1534" s="1104">
        <f t="shared" si="362"/>
        <v>0.24837830825116761</v>
      </c>
      <c r="I1534" s="1037"/>
    </row>
    <row r="1535" spans="1:9" ht="15.75" customHeight="1">
      <c r="A1535" s="1394"/>
      <c r="B1535" s="1575"/>
      <c r="C1535" s="1552" t="s">
        <v>641</v>
      </c>
      <c r="D1535" s="1126" t="s">
        <v>588</v>
      </c>
      <c r="E1535" s="1477">
        <v>850</v>
      </c>
      <c r="F1535" s="1477">
        <v>85</v>
      </c>
      <c r="G1535" s="1477">
        <v>0</v>
      </c>
      <c r="H1535" s="1478">
        <f t="shared" si="362"/>
        <v>0</v>
      </c>
      <c r="I1535" s="1037"/>
    </row>
    <row r="1536" spans="1:9" ht="15.75" customHeight="1">
      <c r="A1536" s="1394"/>
      <c r="B1536" s="1575"/>
      <c r="C1536" s="1552" t="s">
        <v>642</v>
      </c>
      <c r="D1536" s="1126" t="s">
        <v>588</v>
      </c>
      <c r="E1536" s="1589">
        <v>150</v>
      </c>
      <c r="F1536" s="1589">
        <v>2467</v>
      </c>
      <c r="G1536" s="1589">
        <v>471</v>
      </c>
      <c r="H1536" s="1590">
        <f t="shared" si="362"/>
        <v>0.19092014592622619</v>
      </c>
      <c r="I1536" s="1037"/>
    </row>
    <row r="1537" spans="1:9" ht="15.75" customHeight="1">
      <c r="A1537" s="1394"/>
      <c r="B1537" s="1575"/>
      <c r="C1537" s="1552" t="s">
        <v>745</v>
      </c>
      <c r="D1537" s="1126" t="s">
        <v>702</v>
      </c>
      <c r="E1537" s="1559">
        <v>7274</v>
      </c>
      <c r="F1537" s="1559">
        <v>8039</v>
      </c>
      <c r="G1537" s="1559">
        <v>4820</v>
      </c>
      <c r="H1537" s="1560">
        <f t="shared" si="362"/>
        <v>0.59957706182360992</v>
      </c>
      <c r="I1537" s="1037"/>
    </row>
    <row r="1538" spans="1:9" ht="15.75" customHeight="1">
      <c r="A1538" s="1394"/>
      <c r="B1538" s="1575"/>
      <c r="C1538" s="1552" t="s">
        <v>746</v>
      </c>
      <c r="D1538" s="1126" t="s">
        <v>702</v>
      </c>
      <c r="E1538" s="1591">
        <v>1284</v>
      </c>
      <c r="F1538" s="1591">
        <v>1419</v>
      </c>
      <c r="G1538" s="1591">
        <v>850</v>
      </c>
      <c r="H1538" s="1592">
        <f t="shared" si="362"/>
        <v>0.5990133897110641</v>
      </c>
      <c r="I1538" s="1037"/>
    </row>
    <row r="1539" spans="1:9" ht="15.75" customHeight="1">
      <c r="A1539" s="1394"/>
      <c r="B1539" s="1575"/>
      <c r="C1539" s="1555" t="s">
        <v>910</v>
      </c>
      <c r="D1539" s="1234" t="s">
        <v>592</v>
      </c>
      <c r="E1539" s="1103">
        <v>0</v>
      </c>
      <c r="F1539" s="1103">
        <v>3752</v>
      </c>
      <c r="G1539" s="1103">
        <v>3457</v>
      </c>
      <c r="H1539" s="1104">
        <f t="shared" si="362"/>
        <v>0.92137526652452029</v>
      </c>
      <c r="I1539" s="1037"/>
    </row>
    <row r="1540" spans="1:9" ht="15.75" customHeight="1">
      <c r="A1540" s="1394"/>
      <c r="B1540" s="1575"/>
      <c r="C1540" s="1506" t="s">
        <v>911</v>
      </c>
      <c r="D1540" s="1234" t="s">
        <v>592</v>
      </c>
      <c r="E1540" s="1103">
        <v>0</v>
      </c>
      <c r="F1540" s="1103">
        <v>700</v>
      </c>
      <c r="G1540" s="1103">
        <v>645</v>
      </c>
      <c r="H1540" s="1104">
        <f t="shared" si="362"/>
        <v>0.92142857142857137</v>
      </c>
      <c r="I1540" s="1037"/>
    </row>
    <row r="1541" spans="1:9" ht="15.75" customHeight="1">
      <c r="A1541" s="1394"/>
      <c r="B1541" s="1575"/>
      <c r="C1541" s="1506" t="s">
        <v>912</v>
      </c>
      <c r="D1541" s="1234" t="s">
        <v>594</v>
      </c>
      <c r="E1541" s="1103">
        <v>0</v>
      </c>
      <c r="F1541" s="1103">
        <v>1635</v>
      </c>
      <c r="G1541" s="1103">
        <v>130</v>
      </c>
      <c r="H1541" s="1104">
        <f t="shared" si="362"/>
        <v>7.9510703363914373E-2</v>
      </c>
      <c r="I1541" s="1037"/>
    </row>
    <row r="1542" spans="1:9" ht="15.75" customHeight="1">
      <c r="A1542" s="1394"/>
      <c r="B1542" s="1575"/>
      <c r="C1542" s="1506" t="s">
        <v>913</v>
      </c>
      <c r="D1542" s="1234" t="s">
        <v>594</v>
      </c>
      <c r="E1542" s="1103">
        <v>0</v>
      </c>
      <c r="F1542" s="1103">
        <v>305</v>
      </c>
      <c r="G1542" s="1103">
        <v>24</v>
      </c>
      <c r="H1542" s="1104">
        <f t="shared" si="362"/>
        <v>7.8688524590163941E-2</v>
      </c>
      <c r="I1542" s="1037"/>
    </row>
    <row r="1543" spans="1:9" ht="15.75" customHeight="1">
      <c r="A1543" s="1394"/>
      <c r="B1543" s="1575"/>
      <c r="C1543" s="1506" t="s">
        <v>914</v>
      </c>
      <c r="D1543" s="1234" t="s">
        <v>598</v>
      </c>
      <c r="E1543" s="1103">
        <v>0</v>
      </c>
      <c r="F1543" s="1103">
        <v>1013</v>
      </c>
      <c r="G1543" s="1103">
        <v>250</v>
      </c>
      <c r="H1543" s="1104">
        <f t="shared" si="362"/>
        <v>0.24679170779861798</v>
      </c>
      <c r="I1543" s="1037"/>
    </row>
    <row r="1544" spans="1:9" ht="15.75" customHeight="1">
      <c r="A1544" s="1394"/>
      <c r="B1544" s="1575"/>
      <c r="C1544" s="1506" t="s">
        <v>769</v>
      </c>
      <c r="D1544" s="1234" t="s">
        <v>598</v>
      </c>
      <c r="E1544" s="1103">
        <v>0</v>
      </c>
      <c r="F1544" s="1103">
        <v>190</v>
      </c>
      <c r="G1544" s="1103">
        <v>48</v>
      </c>
      <c r="H1544" s="1104">
        <f t="shared" si="362"/>
        <v>0.25263157894736843</v>
      </c>
      <c r="I1544" s="1037"/>
    </row>
    <row r="1545" spans="1:9" ht="15.75" customHeight="1">
      <c r="A1545" s="1394"/>
      <c r="B1545" s="1575"/>
      <c r="C1545" s="1593" t="s">
        <v>674</v>
      </c>
      <c r="D1545" s="1594" t="s">
        <v>773</v>
      </c>
      <c r="E1545" s="1557">
        <v>0</v>
      </c>
      <c r="F1545" s="1557">
        <v>2107</v>
      </c>
      <c r="G1545" s="1557">
        <v>0</v>
      </c>
      <c r="H1545" s="1558">
        <f t="shared" si="362"/>
        <v>0</v>
      </c>
      <c r="I1545" s="1037"/>
    </row>
    <row r="1546" spans="1:9" ht="15.75" customHeight="1">
      <c r="A1546" s="1394"/>
      <c r="B1546" s="1575"/>
      <c r="C1546" s="1593" t="s">
        <v>646</v>
      </c>
      <c r="D1546" s="1594" t="s">
        <v>773</v>
      </c>
      <c r="E1546" s="1557">
        <v>0</v>
      </c>
      <c r="F1546" s="1557">
        <v>393</v>
      </c>
      <c r="G1546" s="1557">
        <v>0</v>
      </c>
      <c r="H1546" s="1558">
        <f t="shared" si="362"/>
        <v>0</v>
      </c>
      <c r="I1546" s="1037"/>
    </row>
    <row r="1547" spans="1:9" ht="17.100000000000001" customHeight="1">
      <c r="A1547" s="1394"/>
      <c r="B1547" s="1575"/>
      <c r="C1547" s="1098"/>
      <c r="D1547" s="1098"/>
      <c r="E1547" s="1440"/>
      <c r="F1547" s="1440"/>
      <c r="G1547" s="1440"/>
      <c r="H1547" s="1441"/>
      <c r="I1547" s="1037"/>
    </row>
    <row r="1548" spans="1:9" ht="17.100000000000001" customHeight="1">
      <c r="A1548" s="1394"/>
      <c r="B1548" s="1575"/>
      <c r="C1548" s="2159" t="s">
        <v>605</v>
      </c>
      <c r="D1548" s="2159"/>
      <c r="E1548" s="1595">
        <f>E1549</f>
        <v>881400</v>
      </c>
      <c r="F1548" s="1595">
        <f t="shared" ref="F1548:G1548" si="363">F1549</f>
        <v>946988</v>
      </c>
      <c r="G1548" s="1595">
        <f t="shared" si="363"/>
        <v>862839</v>
      </c>
      <c r="H1548" s="1596">
        <f t="shared" si="362"/>
        <v>0.91114037347886145</v>
      </c>
      <c r="I1548" s="1037"/>
    </row>
    <row r="1549" spans="1:9" ht="17.100000000000001" customHeight="1">
      <c r="A1549" s="1394"/>
      <c r="B1549" s="1575"/>
      <c r="C1549" s="2198" t="s">
        <v>706</v>
      </c>
      <c r="D1549" s="2198"/>
      <c r="E1549" s="1543">
        <f t="shared" ref="E1549:G1549" si="364">SUM(E1550:E1553)</f>
        <v>881400</v>
      </c>
      <c r="F1549" s="1543">
        <f t="shared" si="364"/>
        <v>946988</v>
      </c>
      <c r="G1549" s="1543">
        <f t="shared" si="364"/>
        <v>862839</v>
      </c>
      <c r="H1549" s="1544">
        <f t="shared" si="362"/>
        <v>0.91114037347886145</v>
      </c>
      <c r="I1549" s="1037"/>
    </row>
    <row r="1550" spans="1:9" ht="38.25">
      <c r="A1550" s="1394"/>
      <c r="B1550" s="1575"/>
      <c r="C1550" s="1597" t="s">
        <v>678</v>
      </c>
      <c r="D1550" s="1553" t="s">
        <v>682</v>
      </c>
      <c r="E1550" s="1559">
        <v>731967</v>
      </c>
      <c r="F1550" s="1559">
        <v>741838</v>
      </c>
      <c r="G1550" s="1559">
        <v>661417</v>
      </c>
      <c r="H1550" s="1560">
        <f t="shared" si="362"/>
        <v>0.89159223442314894</v>
      </c>
      <c r="I1550" s="1037"/>
    </row>
    <row r="1551" spans="1:9" ht="51">
      <c r="A1551" s="1394"/>
      <c r="B1551" s="1575"/>
      <c r="C1551" s="1545" t="s">
        <v>679</v>
      </c>
      <c r="D1551" s="1598" t="s">
        <v>680</v>
      </c>
      <c r="E1551" s="1589">
        <v>149433</v>
      </c>
      <c r="F1551" s="1589">
        <v>194123</v>
      </c>
      <c r="G1551" s="1589">
        <v>190398</v>
      </c>
      <c r="H1551" s="1590">
        <f t="shared" si="362"/>
        <v>0.98081113520808971</v>
      </c>
      <c r="I1551" s="1037"/>
    </row>
    <row r="1552" spans="1:9" ht="51">
      <c r="A1552" s="1394"/>
      <c r="B1552" s="1575"/>
      <c r="C1552" s="1561" t="s">
        <v>788</v>
      </c>
      <c r="D1552" s="1599" t="s">
        <v>612</v>
      </c>
      <c r="E1552" s="1557">
        <v>0</v>
      </c>
      <c r="F1552" s="1557">
        <v>195</v>
      </c>
      <c r="G1552" s="1557">
        <v>194</v>
      </c>
      <c r="H1552" s="1558">
        <f t="shared" si="362"/>
        <v>0.99487179487179489</v>
      </c>
      <c r="I1552" s="1037"/>
    </row>
    <row r="1553" spans="1:9" ht="17.100000000000001" customHeight="1" thickBot="1">
      <c r="A1553" s="1394"/>
      <c r="B1553" s="1575"/>
      <c r="C1553" s="1251" t="s">
        <v>477</v>
      </c>
      <c r="D1553" s="1252" t="s">
        <v>774</v>
      </c>
      <c r="E1553" s="1089">
        <v>0</v>
      </c>
      <c r="F1553" s="1089">
        <v>10832</v>
      </c>
      <c r="G1553" s="1089">
        <v>10830</v>
      </c>
      <c r="H1553" s="1090">
        <f t="shared" si="362"/>
        <v>0.9998153618906942</v>
      </c>
      <c r="I1553" s="1037"/>
    </row>
    <row r="1554" spans="1:9" ht="17.100000000000001" customHeight="1" thickBot="1">
      <c r="A1554" s="1051" t="s">
        <v>915</v>
      </c>
      <c r="B1554" s="1052"/>
      <c r="C1554" s="1600"/>
      <c r="D1554" s="1601" t="s">
        <v>916</v>
      </c>
      <c r="E1554" s="1602">
        <f>E1555+E1565+E1650</f>
        <v>41834339</v>
      </c>
      <c r="F1554" s="1055">
        <f t="shared" ref="F1554:G1554" si="365">F1555+F1565+F1650</f>
        <v>42027324</v>
      </c>
      <c r="G1554" s="1055">
        <f t="shared" si="365"/>
        <v>37157903</v>
      </c>
      <c r="H1554" s="1056">
        <f t="shared" si="362"/>
        <v>0.88413678206111812</v>
      </c>
      <c r="I1554" s="1037"/>
    </row>
    <row r="1555" spans="1:9" ht="17.100000000000001" customHeight="1" thickBot="1">
      <c r="A1555" s="1394"/>
      <c r="B1555" s="1144" t="s">
        <v>917</v>
      </c>
      <c r="C1555" s="1288"/>
      <c r="D1555" s="1603" t="s">
        <v>918</v>
      </c>
      <c r="E1555" s="1604">
        <f>E1556+E1562</f>
        <v>2158174</v>
      </c>
      <c r="F1555" s="1604">
        <f t="shared" ref="F1555:G1555" si="366">F1556+F1562</f>
        <v>2788174</v>
      </c>
      <c r="G1555" s="1604">
        <f t="shared" si="366"/>
        <v>2739729</v>
      </c>
      <c r="H1555" s="1605">
        <f t="shared" si="362"/>
        <v>0.98262482900995418</v>
      </c>
      <c r="I1555" s="1037"/>
    </row>
    <row r="1556" spans="1:9" ht="17.100000000000001" customHeight="1">
      <c r="A1556" s="1394"/>
      <c r="B1556" s="2154"/>
      <c r="C1556" s="2199" t="s">
        <v>560</v>
      </c>
      <c r="D1556" s="2200"/>
      <c r="E1556" s="1606">
        <f t="shared" ref="E1556:G1556" si="367">E1557</f>
        <v>2158174</v>
      </c>
      <c r="F1556" s="1371">
        <f t="shared" si="367"/>
        <v>2288174</v>
      </c>
      <c r="G1556" s="1371">
        <f t="shared" si="367"/>
        <v>2239729</v>
      </c>
      <c r="H1556" s="1372">
        <f t="shared" si="362"/>
        <v>0.97882809611506816</v>
      </c>
      <c r="I1556" s="1037"/>
    </row>
    <row r="1557" spans="1:9" ht="17.100000000000001" customHeight="1">
      <c r="A1557" s="1394"/>
      <c r="B1557" s="2154"/>
      <c r="C1557" s="2201" t="s">
        <v>647</v>
      </c>
      <c r="D1557" s="2202"/>
      <c r="E1557" s="1607">
        <f t="shared" ref="E1557:G1557" si="368">SUM(E1558:E1560)</f>
        <v>2158174</v>
      </c>
      <c r="F1557" s="1608">
        <f t="shared" si="368"/>
        <v>2288174</v>
      </c>
      <c r="G1557" s="1608">
        <f t="shared" si="368"/>
        <v>2239729</v>
      </c>
      <c r="H1557" s="1609">
        <f t="shared" si="362"/>
        <v>0.97882809611506816</v>
      </c>
    </row>
    <row r="1558" spans="1:9" ht="42.75" customHeight="1">
      <c r="A1558" s="1394"/>
      <c r="B1558" s="2154"/>
      <c r="C1558" s="1554" t="s">
        <v>125</v>
      </c>
      <c r="D1558" s="1610" t="s">
        <v>656</v>
      </c>
      <c r="E1558" s="1607">
        <v>1127991</v>
      </c>
      <c r="F1558" s="1608">
        <v>1127991</v>
      </c>
      <c r="G1558" s="1608">
        <v>1124487</v>
      </c>
      <c r="H1558" s="1609">
        <f t="shared" si="362"/>
        <v>0.99689359223610829</v>
      </c>
    </row>
    <row r="1559" spans="1:9" ht="27" customHeight="1">
      <c r="A1559" s="1394"/>
      <c r="B1559" s="1395"/>
      <c r="C1559" s="1554" t="s">
        <v>919</v>
      </c>
      <c r="D1559" s="1610" t="s">
        <v>920</v>
      </c>
      <c r="E1559" s="1607">
        <v>82223</v>
      </c>
      <c r="F1559" s="1608">
        <v>82223</v>
      </c>
      <c r="G1559" s="1608">
        <v>82222</v>
      </c>
      <c r="H1559" s="1609">
        <f t="shared" si="362"/>
        <v>0.99998783795288426</v>
      </c>
    </row>
    <row r="1560" spans="1:9" ht="27" customHeight="1">
      <c r="A1560" s="1394"/>
      <c r="B1560" s="1395"/>
      <c r="C1560" s="1611" t="s">
        <v>921</v>
      </c>
      <c r="D1560" s="1612" t="s">
        <v>922</v>
      </c>
      <c r="E1560" s="1613">
        <v>947960</v>
      </c>
      <c r="F1560" s="1614">
        <v>1077960</v>
      </c>
      <c r="G1560" s="1614">
        <v>1033020</v>
      </c>
      <c r="H1560" s="1615">
        <f t="shared" si="362"/>
        <v>0.95831014137815873</v>
      </c>
    </row>
    <row r="1561" spans="1:9" ht="17.25" customHeight="1">
      <c r="A1561" s="1394"/>
      <c r="B1561" s="1395"/>
      <c r="C1561" s="1616"/>
      <c r="D1561" s="1617"/>
      <c r="E1561" s="1613"/>
      <c r="F1561" s="1613"/>
      <c r="G1561" s="1613"/>
      <c r="H1561" s="1618"/>
    </row>
    <row r="1562" spans="1:9" ht="17.25" customHeight="1">
      <c r="A1562" s="1394"/>
      <c r="B1562" s="1395"/>
      <c r="C1562" s="2192" t="s">
        <v>605</v>
      </c>
      <c r="D1562" s="2193"/>
      <c r="E1562" s="1619">
        <f>E1563</f>
        <v>0</v>
      </c>
      <c r="F1562" s="1083">
        <f t="shared" ref="F1562:G1563" si="369">F1563</f>
        <v>500000</v>
      </c>
      <c r="G1562" s="1083">
        <f t="shared" si="369"/>
        <v>500000</v>
      </c>
      <c r="H1562" s="1084">
        <f t="shared" si="362"/>
        <v>1</v>
      </c>
    </row>
    <row r="1563" spans="1:9" ht="18" customHeight="1">
      <c r="A1563" s="1394"/>
      <c r="B1563" s="1395"/>
      <c r="C1563" s="2194" t="s">
        <v>706</v>
      </c>
      <c r="D1563" s="2195"/>
      <c r="E1563" s="1613">
        <f>E1564</f>
        <v>0</v>
      </c>
      <c r="F1563" s="1613">
        <f t="shared" si="369"/>
        <v>500000</v>
      </c>
      <c r="G1563" s="1613">
        <f t="shared" si="369"/>
        <v>500000</v>
      </c>
      <c r="H1563" s="1618">
        <f t="shared" si="362"/>
        <v>1</v>
      </c>
    </row>
    <row r="1564" spans="1:9" ht="43.5" customHeight="1" thickBot="1">
      <c r="A1564" s="1394"/>
      <c r="B1564" s="1395"/>
      <c r="C1564" s="1620" t="s">
        <v>923</v>
      </c>
      <c r="D1564" s="1621" t="s">
        <v>924</v>
      </c>
      <c r="E1564" s="1622">
        <v>0</v>
      </c>
      <c r="F1564" s="1559">
        <v>500000</v>
      </c>
      <c r="G1564" s="1559">
        <v>500000</v>
      </c>
      <c r="H1564" s="1560">
        <f t="shared" si="362"/>
        <v>1</v>
      </c>
    </row>
    <row r="1565" spans="1:9" ht="17.100000000000001" customHeight="1" thickBot="1">
      <c r="A1565" s="1394"/>
      <c r="B1565" s="1144" t="s">
        <v>925</v>
      </c>
      <c r="C1565" s="1145"/>
      <c r="D1565" s="1146" t="s">
        <v>926</v>
      </c>
      <c r="E1565" s="1147">
        <f>E1566+E1640</f>
        <v>30733721</v>
      </c>
      <c r="F1565" s="1147">
        <f t="shared" ref="F1565:G1565" si="370">F1566+F1640</f>
        <v>29957753</v>
      </c>
      <c r="G1565" s="1147">
        <f t="shared" si="370"/>
        <v>26631112</v>
      </c>
      <c r="H1565" s="1148">
        <f t="shared" si="362"/>
        <v>0.88895559022734449</v>
      </c>
    </row>
    <row r="1566" spans="1:9" ht="17.100000000000001" customHeight="1">
      <c r="A1566" s="1394"/>
      <c r="B1566" s="1395"/>
      <c r="C1566" s="2112" t="s">
        <v>560</v>
      </c>
      <c r="D1566" s="2112"/>
      <c r="E1566" s="1348">
        <f t="shared" ref="E1566:G1566" si="371">E1567+E1596+E1600</f>
        <v>30511721</v>
      </c>
      <c r="F1566" s="1348">
        <f t="shared" si="371"/>
        <v>29744453</v>
      </c>
      <c r="G1566" s="1348">
        <f t="shared" si="371"/>
        <v>26464459</v>
      </c>
      <c r="H1566" s="1349">
        <f t="shared" si="362"/>
        <v>0.88972754012319544</v>
      </c>
    </row>
    <row r="1567" spans="1:9" ht="17.100000000000001" customHeight="1">
      <c r="A1567" s="1394"/>
      <c r="B1567" s="1395"/>
      <c r="C1567" s="2174" t="s">
        <v>561</v>
      </c>
      <c r="D1567" s="2174"/>
      <c r="E1567" s="1623">
        <f t="shared" ref="E1567:G1567" si="372">E1568+E1575</f>
        <v>10251631</v>
      </c>
      <c r="F1567" s="1623">
        <f t="shared" si="372"/>
        <v>10137091</v>
      </c>
      <c r="G1567" s="1623">
        <f t="shared" si="372"/>
        <v>9455207</v>
      </c>
      <c r="H1567" s="1624">
        <f t="shared" si="362"/>
        <v>0.93273375961604765</v>
      </c>
    </row>
    <row r="1568" spans="1:9" ht="17.100000000000001" customHeight="1">
      <c r="A1568" s="1394"/>
      <c r="B1568" s="1395"/>
      <c r="C1568" s="2196" t="s">
        <v>562</v>
      </c>
      <c r="D1568" s="2196"/>
      <c r="E1568" s="1335">
        <f t="shared" ref="E1568:G1568" si="373">SUM(E1569:E1573)</f>
        <v>8261703</v>
      </c>
      <c r="F1568" s="1335">
        <f t="shared" si="373"/>
        <v>8147663</v>
      </c>
      <c r="G1568" s="1335">
        <f t="shared" si="373"/>
        <v>7643058</v>
      </c>
      <c r="H1568" s="1336">
        <f t="shared" si="362"/>
        <v>0.93806751702911617</v>
      </c>
    </row>
    <row r="1569" spans="1:9" ht="17.100000000000001" customHeight="1">
      <c r="A1569" s="1394"/>
      <c r="B1569" s="1395"/>
      <c r="C1569" s="1125" t="s">
        <v>145</v>
      </c>
      <c r="D1569" s="1126" t="s">
        <v>563</v>
      </c>
      <c r="E1569" s="1625">
        <v>6510431</v>
      </c>
      <c r="F1569" s="1625">
        <v>6430663</v>
      </c>
      <c r="G1569" s="1625">
        <v>6083569</v>
      </c>
      <c r="H1569" s="1626">
        <f t="shared" si="362"/>
        <v>0.94602516101372436</v>
      </c>
    </row>
    <row r="1570" spans="1:9" ht="17.100000000000001" customHeight="1">
      <c r="A1570" s="1394"/>
      <c r="B1570" s="1395"/>
      <c r="C1570" s="1552" t="s">
        <v>564</v>
      </c>
      <c r="D1570" s="1553" t="s">
        <v>565</v>
      </c>
      <c r="E1570" s="1625">
        <v>430073</v>
      </c>
      <c r="F1570" s="1625">
        <v>429873</v>
      </c>
      <c r="G1570" s="1625">
        <v>429079</v>
      </c>
      <c r="H1570" s="1626">
        <f t="shared" si="362"/>
        <v>0.99815294284591027</v>
      </c>
    </row>
    <row r="1571" spans="1:9" ht="17.100000000000001" customHeight="1">
      <c r="A1571" s="1394"/>
      <c r="B1571" s="1395"/>
      <c r="C1571" s="1552" t="s">
        <v>146</v>
      </c>
      <c r="D1571" s="1553" t="s">
        <v>566</v>
      </c>
      <c r="E1571" s="1625">
        <v>1145858</v>
      </c>
      <c r="F1571" s="1625">
        <v>1117122</v>
      </c>
      <c r="G1571" s="1625">
        <v>1007628</v>
      </c>
      <c r="H1571" s="1626">
        <f t="shared" si="362"/>
        <v>0.90198563809503352</v>
      </c>
    </row>
    <row r="1572" spans="1:9" ht="17.100000000000001" customHeight="1">
      <c r="A1572" s="1394"/>
      <c r="B1572" s="1395"/>
      <c r="C1572" s="1552" t="s">
        <v>147</v>
      </c>
      <c r="D1572" s="1553" t="s">
        <v>567</v>
      </c>
      <c r="E1572" s="1625">
        <v>164101</v>
      </c>
      <c r="F1572" s="1625">
        <v>160005</v>
      </c>
      <c r="G1572" s="1625">
        <v>114517</v>
      </c>
      <c r="H1572" s="1626">
        <f t="shared" si="362"/>
        <v>0.71570888409737199</v>
      </c>
    </row>
    <row r="1573" spans="1:9" ht="17.100000000000001" customHeight="1">
      <c r="A1573" s="1394"/>
      <c r="B1573" s="1395"/>
      <c r="C1573" s="1552" t="s">
        <v>568</v>
      </c>
      <c r="D1573" s="1553" t="s">
        <v>569</v>
      </c>
      <c r="E1573" s="1625">
        <v>11240</v>
      </c>
      <c r="F1573" s="1625">
        <v>10000</v>
      </c>
      <c r="G1573" s="1625">
        <v>8265</v>
      </c>
      <c r="H1573" s="1626">
        <f t="shared" si="362"/>
        <v>0.82650000000000001</v>
      </c>
      <c r="I1573" s="1037"/>
    </row>
    <row r="1574" spans="1:9" ht="17.100000000000001" customHeight="1">
      <c r="A1574" s="1394"/>
      <c r="B1574" s="1395"/>
      <c r="C1574" s="1098"/>
      <c r="D1574" s="1098"/>
      <c r="E1574" s="1440"/>
      <c r="F1574" s="1440"/>
      <c r="G1574" s="1440"/>
      <c r="H1574" s="1441"/>
      <c r="I1574" s="1037"/>
    </row>
    <row r="1575" spans="1:9" ht="17.100000000000001" customHeight="1">
      <c r="A1575" s="1394"/>
      <c r="B1575" s="1395"/>
      <c r="C1575" s="2197" t="s">
        <v>570</v>
      </c>
      <c r="D1575" s="2197"/>
      <c r="E1575" s="1335">
        <f t="shared" ref="E1575:G1575" si="374">SUM(E1576:E1594)</f>
        <v>1989928</v>
      </c>
      <c r="F1575" s="1335">
        <f t="shared" si="374"/>
        <v>1989428</v>
      </c>
      <c r="G1575" s="1335">
        <f t="shared" si="374"/>
        <v>1812149</v>
      </c>
      <c r="H1575" s="1336">
        <f t="shared" si="362"/>
        <v>0.91088946169451723</v>
      </c>
      <c r="I1575" s="1037"/>
    </row>
    <row r="1576" spans="1:9" ht="17.100000000000001" customHeight="1">
      <c r="A1576" s="1394"/>
      <c r="B1576" s="1395"/>
      <c r="C1576" s="1552" t="s">
        <v>571</v>
      </c>
      <c r="D1576" s="1553" t="s">
        <v>572</v>
      </c>
      <c r="E1576" s="1302">
        <v>6000</v>
      </c>
      <c r="F1576" s="1302">
        <v>6000</v>
      </c>
      <c r="G1576" s="1302">
        <v>0</v>
      </c>
      <c r="H1576" s="1303">
        <f t="shared" si="362"/>
        <v>0</v>
      </c>
      <c r="I1576" s="1037"/>
    </row>
    <row r="1577" spans="1:9" ht="17.100000000000001" customHeight="1">
      <c r="A1577" s="1394"/>
      <c r="B1577" s="1395"/>
      <c r="C1577" s="1552" t="s">
        <v>143</v>
      </c>
      <c r="D1577" s="1553" t="s">
        <v>573</v>
      </c>
      <c r="E1577" s="1302">
        <v>215300</v>
      </c>
      <c r="F1577" s="1302">
        <v>243440</v>
      </c>
      <c r="G1577" s="1302">
        <v>241705</v>
      </c>
      <c r="H1577" s="1303">
        <f t="shared" si="362"/>
        <v>0.99287298718370032</v>
      </c>
      <c r="I1577" s="1037"/>
    </row>
    <row r="1578" spans="1:9" ht="17.100000000000001" customHeight="1">
      <c r="A1578" s="1394"/>
      <c r="B1578" s="1395"/>
      <c r="C1578" s="1552" t="s">
        <v>574</v>
      </c>
      <c r="D1578" s="1553" t="s">
        <v>575</v>
      </c>
      <c r="E1578" s="1302">
        <v>6000</v>
      </c>
      <c r="F1578" s="1302">
        <v>6000</v>
      </c>
      <c r="G1578" s="1302">
        <v>5943</v>
      </c>
      <c r="H1578" s="1303">
        <f t="shared" si="362"/>
        <v>0.99050000000000005</v>
      </c>
      <c r="I1578" s="1037"/>
    </row>
    <row r="1579" spans="1:9" ht="17.100000000000001" customHeight="1">
      <c r="A1579" s="1394"/>
      <c r="B1579" s="1395"/>
      <c r="C1579" s="1552" t="s">
        <v>576</v>
      </c>
      <c r="D1579" s="1553" t="s">
        <v>577</v>
      </c>
      <c r="E1579" s="1302">
        <v>221700</v>
      </c>
      <c r="F1579" s="1302">
        <v>166100</v>
      </c>
      <c r="G1579" s="1302">
        <v>119953</v>
      </c>
      <c r="H1579" s="1303">
        <f t="shared" si="362"/>
        <v>0.72217338952438292</v>
      </c>
      <c r="I1579" s="1037"/>
    </row>
    <row r="1580" spans="1:9" ht="17.100000000000001" customHeight="1">
      <c r="A1580" s="1394"/>
      <c r="B1580" s="1395"/>
      <c r="C1580" s="1552" t="s">
        <v>24</v>
      </c>
      <c r="D1580" s="1553" t="s">
        <v>578</v>
      </c>
      <c r="E1580" s="1302">
        <v>78580</v>
      </c>
      <c r="F1580" s="1302">
        <v>91580</v>
      </c>
      <c r="G1580" s="1302">
        <v>79413</v>
      </c>
      <c r="H1580" s="1303">
        <f t="shared" si="362"/>
        <v>0.86714348110941253</v>
      </c>
      <c r="I1580" s="1037"/>
    </row>
    <row r="1581" spans="1:9" ht="17.100000000000001" customHeight="1">
      <c r="A1581" s="1394"/>
      <c r="B1581" s="1395"/>
      <c r="C1581" s="1552" t="s">
        <v>579</v>
      </c>
      <c r="D1581" s="1553" t="s">
        <v>580</v>
      </c>
      <c r="E1581" s="1302">
        <v>6965</v>
      </c>
      <c r="F1581" s="1302">
        <v>6965</v>
      </c>
      <c r="G1581" s="1302">
        <v>5049</v>
      </c>
      <c r="H1581" s="1303">
        <f t="shared" si="362"/>
        <v>0.72491026561378324</v>
      </c>
      <c r="I1581" s="1037"/>
    </row>
    <row r="1582" spans="1:9" ht="17.100000000000001" customHeight="1">
      <c r="A1582" s="1394"/>
      <c r="B1582" s="1395"/>
      <c r="C1582" s="1552" t="s">
        <v>25</v>
      </c>
      <c r="D1582" s="1553" t="s">
        <v>581</v>
      </c>
      <c r="E1582" s="1302">
        <v>614320</v>
      </c>
      <c r="F1582" s="1302">
        <v>627434</v>
      </c>
      <c r="G1582" s="1302">
        <v>589823</v>
      </c>
      <c r="H1582" s="1303">
        <f t="shared" si="362"/>
        <v>0.94005584651134622</v>
      </c>
      <c r="I1582" s="1037"/>
    </row>
    <row r="1583" spans="1:9" ht="16.5" customHeight="1">
      <c r="A1583" s="1394"/>
      <c r="B1583" s="1395"/>
      <c r="C1583" s="1552" t="s">
        <v>582</v>
      </c>
      <c r="D1583" s="1553" t="s">
        <v>583</v>
      </c>
      <c r="E1583" s="1302">
        <v>31314</v>
      </c>
      <c r="F1583" s="1302">
        <v>24814</v>
      </c>
      <c r="G1583" s="1302">
        <v>16979</v>
      </c>
      <c r="H1583" s="1303">
        <f t="shared" si="362"/>
        <v>0.68425082614653021</v>
      </c>
      <c r="I1583" s="1037"/>
    </row>
    <row r="1584" spans="1:9" ht="16.5" customHeight="1">
      <c r="A1584" s="1394"/>
      <c r="B1584" s="1395"/>
      <c r="C1584" s="1552" t="s">
        <v>754</v>
      </c>
      <c r="D1584" s="1553" t="s">
        <v>740</v>
      </c>
      <c r="E1584" s="1302">
        <v>1500</v>
      </c>
      <c r="F1584" s="1302">
        <v>1500</v>
      </c>
      <c r="G1584" s="1302">
        <v>0</v>
      </c>
      <c r="H1584" s="1303">
        <f t="shared" si="362"/>
        <v>0</v>
      </c>
      <c r="I1584" s="1037"/>
    </row>
    <row r="1585" spans="1:9" ht="16.5" customHeight="1">
      <c r="A1585" s="1394"/>
      <c r="B1585" s="1395"/>
      <c r="C1585" s="1552" t="s">
        <v>164</v>
      </c>
      <c r="D1585" s="1553" t="s">
        <v>584</v>
      </c>
      <c r="E1585" s="1302">
        <v>11700</v>
      </c>
      <c r="F1585" s="1302">
        <v>9700</v>
      </c>
      <c r="G1585" s="1302">
        <v>8856</v>
      </c>
      <c r="H1585" s="1303">
        <f t="shared" si="362"/>
        <v>0.91298969072164948</v>
      </c>
      <c r="I1585" s="1037"/>
    </row>
    <row r="1586" spans="1:9" ht="17.100000000000001" customHeight="1">
      <c r="A1586" s="1394"/>
      <c r="B1586" s="1395"/>
      <c r="C1586" s="1545" t="s">
        <v>585</v>
      </c>
      <c r="D1586" s="1546" t="s">
        <v>586</v>
      </c>
      <c r="E1586" s="1302">
        <v>154600</v>
      </c>
      <c r="F1586" s="1302">
        <v>153350</v>
      </c>
      <c r="G1586" s="1302">
        <v>147149</v>
      </c>
      <c r="H1586" s="1303">
        <f t="shared" si="362"/>
        <v>0.959563090968373</v>
      </c>
      <c r="I1586" s="1037"/>
    </row>
    <row r="1587" spans="1:9" ht="17.100000000000001" customHeight="1">
      <c r="A1587" s="1394"/>
      <c r="B1587" s="1395"/>
      <c r="C1587" s="1561" t="s">
        <v>587</v>
      </c>
      <c r="D1587" s="1562" t="s">
        <v>588</v>
      </c>
      <c r="E1587" s="1302">
        <v>43500</v>
      </c>
      <c r="F1587" s="1302">
        <v>41220</v>
      </c>
      <c r="G1587" s="1302">
        <v>30376</v>
      </c>
      <c r="H1587" s="1303">
        <f t="shared" si="362"/>
        <v>0.73692382338670548</v>
      </c>
      <c r="I1587" s="1037"/>
    </row>
    <row r="1588" spans="1:9" ht="17.100000000000001" customHeight="1">
      <c r="A1588" s="1394"/>
      <c r="B1588" s="1395"/>
      <c r="C1588" s="1125" t="s">
        <v>701</v>
      </c>
      <c r="D1588" s="1126" t="s">
        <v>702</v>
      </c>
      <c r="E1588" s="1302">
        <v>2000</v>
      </c>
      <c r="F1588" s="1302">
        <v>140</v>
      </c>
      <c r="G1588" s="1302">
        <v>138</v>
      </c>
      <c r="H1588" s="1303">
        <f t="shared" si="362"/>
        <v>0.98571428571428577</v>
      </c>
      <c r="I1588" s="1037"/>
    </row>
    <row r="1589" spans="1:9" ht="17.100000000000001" customHeight="1">
      <c r="A1589" s="1394"/>
      <c r="B1589" s="1395"/>
      <c r="C1589" s="1552" t="s">
        <v>589</v>
      </c>
      <c r="D1589" s="1553" t="s">
        <v>590</v>
      </c>
      <c r="E1589" s="1302">
        <v>18100</v>
      </c>
      <c r="F1589" s="1302">
        <v>18100</v>
      </c>
      <c r="G1589" s="1302">
        <v>14849</v>
      </c>
      <c r="H1589" s="1303">
        <f t="shared" si="362"/>
        <v>0.82038674033149173</v>
      </c>
      <c r="I1589" s="1037"/>
    </row>
    <row r="1590" spans="1:9" ht="17.100000000000001" customHeight="1">
      <c r="A1590" s="1394"/>
      <c r="B1590" s="1395"/>
      <c r="C1590" s="1552" t="s">
        <v>591</v>
      </c>
      <c r="D1590" s="1553" t="s">
        <v>592</v>
      </c>
      <c r="E1590" s="1302">
        <v>410193</v>
      </c>
      <c r="F1590" s="1302">
        <v>402693</v>
      </c>
      <c r="G1590" s="1302">
        <v>374918</v>
      </c>
      <c r="H1590" s="1303">
        <f t="shared" si="362"/>
        <v>0.93102686165391502</v>
      </c>
      <c r="I1590" s="1037"/>
    </row>
    <row r="1591" spans="1:9" ht="17.100000000000001" customHeight="1">
      <c r="A1591" s="1394"/>
      <c r="B1591" s="1395"/>
      <c r="C1591" s="1552" t="s">
        <v>593</v>
      </c>
      <c r="D1591" s="1553" t="s">
        <v>594</v>
      </c>
      <c r="E1591" s="1302">
        <v>25750</v>
      </c>
      <c r="F1591" s="1302">
        <v>24886</v>
      </c>
      <c r="G1591" s="1302">
        <v>24136</v>
      </c>
      <c r="H1591" s="1303">
        <f t="shared" si="362"/>
        <v>0.96986257333440484</v>
      </c>
      <c r="I1591" s="1037"/>
    </row>
    <row r="1592" spans="1:9" ht="17.100000000000001" customHeight="1">
      <c r="A1592" s="1394"/>
      <c r="B1592" s="1395"/>
      <c r="C1592" s="1552" t="s">
        <v>597</v>
      </c>
      <c r="D1592" s="1553" t="s">
        <v>598</v>
      </c>
      <c r="E1592" s="1302">
        <v>97000</v>
      </c>
      <c r="F1592" s="1302">
        <v>89500</v>
      </c>
      <c r="G1592" s="1302">
        <v>86971</v>
      </c>
      <c r="H1592" s="1303">
        <f t="shared" si="362"/>
        <v>0.97174301675977659</v>
      </c>
      <c r="I1592" s="1037"/>
    </row>
    <row r="1593" spans="1:9" ht="17.100000000000001" customHeight="1">
      <c r="A1593" s="1394"/>
      <c r="B1593" s="1395"/>
      <c r="C1593" s="1552" t="s">
        <v>608</v>
      </c>
      <c r="D1593" s="1553" t="s">
        <v>609</v>
      </c>
      <c r="E1593" s="1302">
        <v>6000</v>
      </c>
      <c r="F1593" s="1302">
        <v>36600</v>
      </c>
      <c r="G1593" s="1302">
        <v>32722</v>
      </c>
      <c r="H1593" s="1303">
        <f t="shared" ref="H1593:H1598" si="375">G1593/F1593</f>
        <v>0.89404371584699449</v>
      </c>
      <c r="I1593" s="1037"/>
    </row>
    <row r="1594" spans="1:9" ht="17.100000000000001" customHeight="1">
      <c r="A1594" s="1394"/>
      <c r="B1594" s="1395"/>
      <c r="C1594" s="1552" t="s">
        <v>148</v>
      </c>
      <c r="D1594" s="1553" t="s">
        <v>601</v>
      </c>
      <c r="E1594" s="1302">
        <v>39406</v>
      </c>
      <c r="F1594" s="1302">
        <v>39406</v>
      </c>
      <c r="G1594" s="1302">
        <v>33169</v>
      </c>
      <c r="H1594" s="1303">
        <f t="shared" si="375"/>
        <v>0.84172461046541136</v>
      </c>
      <c r="I1594" s="1037"/>
    </row>
    <row r="1595" spans="1:9" ht="17.100000000000001" customHeight="1">
      <c r="A1595" s="1394"/>
      <c r="B1595" s="1395"/>
      <c r="C1595" s="1627"/>
      <c r="D1595" s="1627"/>
      <c r="E1595" s="1628"/>
      <c r="F1595" s="1628"/>
      <c r="G1595" s="1628"/>
      <c r="H1595" s="1468"/>
      <c r="I1595" s="1037"/>
    </row>
    <row r="1596" spans="1:9" ht="17.100000000000001" customHeight="1">
      <c r="A1596" s="1394"/>
      <c r="B1596" s="1395"/>
      <c r="C1596" s="2190" t="s">
        <v>602</v>
      </c>
      <c r="D1596" s="2190"/>
      <c r="E1596" s="1302">
        <f t="shared" ref="E1596:G1596" si="376">E1597+E1598</f>
        <v>15760</v>
      </c>
      <c r="F1596" s="1302">
        <f t="shared" si="376"/>
        <v>15700</v>
      </c>
      <c r="G1596" s="1302">
        <f t="shared" si="376"/>
        <v>12684</v>
      </c>
      <c r="H1596" s="1303">
        <f t="shared" si="375"/>
        <v>0.80789808917197448</v>
      </c>
      <c r="I1596" s="1037"/>
    </row>
    <row r="1597" spans="1:9" ht="17.100000000000001" customHeight="1">
      <c r="A1597" s="1394"/>
      <c r="B1597" s="1395"/>
      <c r="C1597" s="1545" t="s">
        <v>603</v>
      </c>
      <c r="D1597" s="1546" t="s">
        <v>604</v>
      </c>
      <c r="E1597" s="1623">
        <v>15500</v>
      </c>
      <c r="F1597" s="1623">
        <v>15500</v>
      </c>
      <c r="G1597" s="1623">
        <v>12577</v>
      </c>
      <c r="H1597" s="1624">
        <f t="shared" si="375"/>
        <v>0.81141935483870964</v>
      </c>
      <c r="I1597" s="1037"/>
    </row>
    <row r="1598" spans="1:9" ht="17.100000000000001" customHeight="1">
      <c r="A1598" s="1394"/>
      <c r="B1598" s="1395"/>
      <c r="C1598" s="1629" t="s">
        <v>750</v>
      </c>
      <c r="D1598" s="1567" t="s">
        <v>758</v>
      </c>
      <c r="E1598" s="1302">
        <v>260</v>
      </c>
      <c r="F1598" s="1302">
        <v>200</v>
      </c>
      <c r="G1598" s="1302">
        <v>107</v>
      </c>
      <c r="H1598" s="1303">
        <f t="shared" si="375"/>
        <v>0.53500000000000003</v>
      </c>
      <c r="I1598" s="1037"/>
    </row>
    <row r="1599" spans="1:9" ht="17.100000000000001" customHeight="1">
      <c r="A1599" s="1394"/>
      <c r="B1599" s="1395"/>
      <c r="C1599" s="1627"/>
      <c r="D1599" s="1627"/>
      <c r="E1599" s="1628"/>
      <c r="F1599" s="1628"/>
      <c r="G1599" s="1628"/>
      <c r="H1599" s="1468"/>
      <c r="I1599" s="1037"/>
    </row>
    <row r="1600" spans="1:9" ht="17.100000000000001" customHeight="1">
      <c r="A1600" s="1394"/>
      <c r="B1600" s="1395"/>
      <c r="C1600" s="2187" t="s">
        <v>616</v>
      </c>
      <c r="D1600" s="2187"/>
      <c r="E1600" s="1302">
        <f>SUM(E1601:E1638)</f>
        <v>20244330</v>
      </c>
      <c r="F1600" s="1302">
        <f t="shared" ref="F1600:G1600" si="377">SUM(F1601:F1638)</f>
        <v>19591662</v>
      </c>
      <c r="G1600" s="1302">
        <f t="shared" si="377"/>
        <v>16996568</v>
      </c>
      <c r="H1600" s="1303">
        <f t="shared" ref="H1600:H1663" si="378">G1600/F1600</f>
        <v>0.86754089571369697</v>
      </c>
      <c r="I1600" s="1037"/>
    </row>
    <row r="1601" spans="1:9" ht="16.5" customHeight="1">
      <c r="A1601" s="1394"/>
      <c r="B1601" s="1395"/>
      <c r="C1601" s="1552" t="s">
        <v>755</v>
      </c>
      <c r="D1601" s="1546" t="s">
        <v>604</v>
      </c>
      <c r="E1601" s="1302">
        <f>8925+4214</f>
        <v>13139</v>
      </c>
      <c r="F1601" s="1302">
        <v>13139</v>
      </c>
      <c r="G1601" s="1302">
        <v>10046</v>
      </c>
      <c r="H1601" s="1303">
        <f t="shared" si="378"/>
        <v>0.76459395692214016</v>
      </c>
      <c r="I1601" s="1037"/>
    </row>
    <row r="1602" spans="1:9" ht="16.5" customHeight="1">
      <c r="A1602" s="1394"/>
      <c r="B1602" s="1395"/>
      <c r="C1602" s="1552" t="s">
        <v>756</v>
      </c>
      <c r="D1602" s="1546" t="s">
        <v>604</v>
      </c>
      <c r="E1602" s="1302">
        <f>1575+786</f>
        <v>2361</v>
      </c>
      <c r="F1602" s="1302">
        <v>2361</v>
      </c>
      <c r="G1602" s="1302">
        <v>1789</v>
      </c>
      <c r="H1602" s="1303">
        <f t="shared" si="378"/>
        <v>0.7577297755188479</v>
      </c>
      <c r="I1602" s="1037"/>
    </row>
    <row r="1603" spans="1:9" ht="17.100000000000001" customHeight="1">
      <c r="A1603" s="1394"/>
      <c r="B1603" s="1395"/>
      <c r="C1603" s="1629" t="s">
        <v>620</v>
      </c>
      <c r="D1603" s="1630" t="s">
        <v>563</v>
      </c>
      <c r="E1603" s="1302">
        <f>9328838+2694517</f>
        <v>12023355</v>
      </c>
      <c r="F1603" s="1302">
        <v>11668123</v>
      </c>
      <c r="G1603" s="1302">
        <v>10387218</v>
      </c>
      <c r="H1603" s="1303">
        <f t="shared" si="378"/>
        <v>0.89022184630724244</v>
      </c>
      <c r="I1603" s="1037"/>
    </row>
    <row r="1604" spans="1:9" ht="17.100000000000001" customHeight="1">
      <c r="A1604" s="1394"/>
      <c r="B1604" s="1395"/>
      <c r="C1604" s="1125" t="s">
        <v>621</v>
      </c>
      <c r="D1604" s="1553" t="s">
        <v>563</v>
      </c>
      <c r="E1604" s="1302">
        <f>1646266+502585</f>
        <v>2148851</v>
      </c>
      <c r="F1604" s="1302">
        <v>2086163</v>
      </c>
      <c r="G1604" s="1302">
        <v>1854633</v>
      </c>
      <c r="H1604" s="1303">
        <f t="shared" si="378"/>
        <v>0.88901634244304018</v>
      </c>
      <c r="I1604" s="1037"/>
    </row>
    <row r="1605" spans="1:9" ht="17.100000000000001" customHeight="1">
      <c r="A1605" s="1394"/>
      <c r="B1605" s="1395"/>
      <c r="C1605" s="1552" t="s">
        <v>622</v>
      </c>
      <c r="D1605" s="1553" t="s">
        <v>565</v>
      </c>
      <c r="E1605" s="1302">
        <f>623498+171594</f>
        <v>795092</v>
      </c>
      <c r="F1605" s="1302">
        <v>782306</v>
      </c>
      <c r="G1605" s="1302">
        <v>776860</v>
      </c>
      <c r="H1605" s="1303">
        <f t="shared" si="378"/>
        <v>0.9930385296802019</v>
      </c>
      <c r="I1605" s="1037"/>
    </row>
    <row r="1606" spans="1:9" ht="17.100000000000001" customHeight="1">
      <c r="A1606" s="1394"/>
      <c r="B1606" s="1395"/>
      <c r="C1606" s="1552" t="s">
        <v>623</v>
      </c>
      <c r="D1606" s="1553" t="s">
        <v>565</v>
      </c>
      <c r="E1606" s="1302">
        <f>110029+32006</f>
        <v>142035</v>
      </c>
      <c r="F1606" s="1302">
        <v>139779</v>
      </c>
      <c r="G1606" s="1302">
        <v>138763</v>
      </c>
      <c r="H1606" s="1303">
        <f t="shared" si="378"/>
        <v>0.99273138311191234</v>
      </c>
      <c r="I1606" s="1037"/>
    </row>
    <row r="1607" spans="1:9" ht="17.100000000000001" customHeight="1">
      <c r="A1607" s="1394"/>
      <c r="B1607" s="1395"/>
      <c r="C1607" s="1552" t="s">
        <v>624</v>
      </c>
      <c r="D1607" s="1553" t="s">
        <v>566</v>
      </c>
      <c r="E1607" s="1302">
        <f>1701850+490276</f>
        <v>2192126</v>
      </c>
      <c r="F1607" s="1302">
        <v>2128877</v>
      </c>
      <c r="G1607" s="1302">
        <v>1858607</v>
      </c>
      <c r="H1607" s="1303">
        <f t="shared" si="378"/>
        <v>0.87304574195690965</v>
      </c>
      <c r="I1607" s="1037"/>
    </row>
    <row r="1608" spans="1:9" ht="17.100000000000001" customHeight="1">
      <c r="A1608" s="1394"/>
      <c r="B1608" s="1395"/>
      <c r="C1608" s="1552" t="s">
        <v>625</v>
      </c>
      <c r="D1608" s="1553" t="s">
        <v>566</v>
      </c>
      <c r="E1608" s="1302">
        <f>300326+91447</f>
        <v>391773</v>
      </c>
      <c r="F1608" s="1302">
        <v>380611</v>
      </c>
      <c r="G1608" s="1302">
        <v>331856</v>
      </c>
      <c r="H1608" s="1303">
        <f t="shared" si="378"/>
        <v>0.87190333437551726</v>
      </c>
      <c r="I1608" s="1037"/>
    </row>
    <row r="1609" spans="1:9" ht="17.100000000000001" customHeight="1">
      <c r="A1609" s="1394"/>
      <c r="B1609" s="1395"/>
      <c r="C1609" s="1552" t="s">
        <v>626</v>
      </c>
      <c r="D1609" s="1553" t="s">
        <v>567</v>
      </c>
      <c r="E1609" s="1302">
        <f>243831+70225</f>
        <v>314056</v>
      </c>
      <c r="F1609" s="1302">
        <v>302755</v>
      </c>
      <c r="G1609" s="1302">
        <v>221784</v>
      </c>
      <c r="H1609" s="1303">
        <f t="shared" si="378"/>
        <v>0.73255272414989014</v>
      </c>
      <c r="I1609" s="1037"/>
    </row>
    <row r="1610" spans="1:9" ht="17.100000000000001" customHeight="1">
      <c r="A1610" s="1394"/>
      <c r="B1610" s="1395"/>
      <c r="C1610" s="1552" t="s">
        <v>627</v>
      </c>
      <c r="D1610" s="1553" t="s">
        <v>567</v>
      </c>
      <c r="E1610" s="1302">
        <f>43029+13098</f>
        <v>56127</v>
      </c>
      <c r="F1610" s="1302">
        <v>54133</v>
      </c>
      <c r="G1610" s="1302">
        <v>39580</v>
      </c>
      <c r="H1610" s="1303">
        <f t="shared" si="378"/>
        <v>0.73116213769789218</v>
      </c>
      <c r="I1610" s="1037"/>
    </row>
    <row r="1611" spans="1:9" ht="17.100000000000001" customHeight="1">
      <c r="A1611" s="1394"/>
      <c r="B1611" s="1395"/>
      <c r="C1611" s="1552" t="s">
        <v>628</v>
      </c>
      <c r="D1611" s="1553" t="s">
        <v>569</v>
      </c>
      <c r="E1611" s="1302">
        <f>72633+16856</f>
        <v>89489</v>
      </c>
      <c r="F1611" s="1302">
        <v>89489</v>
      </c>
      <c r="G1611" s="1302">
        <v>19606</v>
      </c>
      <c r="H1611" s="1303">
        <f t="shared" si="378"/>
        <v>0.21908837957737823</v>
      </c>
      <c r="I1611" s="1037"/>
    </row>
    <row r="1612" spans="1:9" ht="17.100000000000001" customHeight="1">
      <c r="A1612" s="1394"/>
      <c r="B1612" s="1395"/>
      <c r="C1612" s="1552" t="s">
        <v>629</v>
      </c>
      <c r="D1612" s="1553" t="s">
        <v>569</v>
      </c>
      <c r="E1612" s="1302">
        <f>12817+3144</f>
        <v>15961</v>
      </c>
      <c r="F1612" s="1302">
        <v>15961</v>
      </c>
      <c r="G1612" s="1302">
        <v>3483</v>
      </c>
      <c r="H1612" s="1303">
        <f t="shared" si="378"/>
        <v>0.21821940981141533</v>
      </c>
      <c r="I1612" s="1037"/>
    </row>
    <row r="1613" spans="1:9" ht="17.100000000000001" customHeight="1">
      <c r="A1613" s="1394"/>
      <c r="B1613" s="1395"/>
      <c r="C1613" s="1552" t="s">
        <v>633</v>
      </c>
      <c r="D1613" s="1553" t="s">
        <v>573</v>
      </c>
      <c r="E1613" s="1302">
        <f>228650+145214</f>
        <v>373864</v>
      </c>
      <c r="F1613" s="1302">
        <v>313351</v>
      </c>
      <c r="G1613" s="1302">
        <v>206552</v>
      </c>
      <c r="H1613" s="1303">
        <f t="shared" si="378"/>
        <v>0.65917134459440052</v>
      </c>
      <c r="I1613" s="1037"/>
    </row>
    <row r="1614" spans="1:9" ht="17.100000000000001" customHeight="1">
      <c r="A1614" s="1394"/>
      <c r="B1614" s="1395"/>
      <c r="C1614" s="1552" t="s">
        <v>634</v>
      </c>
      <c r="D1614" s="1553" t="s">
        <v>573</v>
      </c>
      <c r="E1614" s="1302">
        <f>40350+27086</f>
        <v>67436</v>
      </c>
      <c r="F1614" s="1302">
        <v>56149</v>
      </c>
      <c r="G1614" s="1302">
        <v>36863</v>
      </c>
      <c r="H1614" s="1303">
        <f t="shared" si="378"/>
        <v>0.65652104222693186</v>
      </c>
      <c r="I1614" s="1037"/>
    </row>
    <row r="1615" spans="1:9" ht="17.100000000000001" customHeight="1">
      <c r="A1615" s="1394"/>
      <c r="B1615" s="1395"/>
      <c r="C1615" s="1552" t="s">
        <v>760</v>
      </c>
      <c r="D1615" s="1553" t="s">
        <v>577</v>
      </c>
      <c r="E1615" s="1302">
        <f>127500+115959</f>
        <v>243459</v>
      </c>
      <c r="F1615" s="1302">
        <v>171325</v>
      </c>
      <c r="G1615" s="1302">
        <v>146892</v>
      </c>
      <c r="H1615" s="1303">
        <f t="shared" si="378"/>
        <v>0.85738800525317382</v>
      </c>
      <c r="I1615" s="1037"/>
    </row>
    <row r="1616" spans="1:9" ht="17.100000000000001" customHeight="1">
      <c r="A1616" s="1394"/>
      <c r="B1616" s="1395"/>
      <c r="C1616" s="1552" t="s">
        <v>761</v>
      </c>
      <c r="D1616" s="1553" t="s">
        <v>577</v>
      </c>
      <c r="E1616" s="1302">
        <f>22500+21629</f>
        <v>44129</v>
      </c>
      <c r="F1616" s="1302">
        <v>30675</v>
      </c>
      <c r="G1616" s="1302">
        <v>26213</v>
      </c>
      <c r="H1616" s="1303">
        <f t="shared" si="378"/>
        <v>0.85453952730236349</v>
      </c>
      <c r="I1616" s="1037"/>
    </row>
    <row r="1617" spans="1:9" ht="17.100000000000001" customHeight="1">
      <c r="A1617" s="1394"/>
      <c r="B1617" s="1395"/>
      <c r="C1617" s="1545" t="s">
        <v>635</v>
      </c>
      <c r="D1617" s="1546" t="s">
        <v>578</v>
      </c>
      <c r="E1617" s="1302">
        <f>45203+6995</f>
        <v>52198</v>
      </c>
      <c r="F1617" s="1302">
        <v>35198</v>
      </c>
      <c r="G1617" s="1302">
        <v>21685</v>
      </c>
      <c r="H1617" s="1303">
        <f t="shared" si="378"/>
        <v>0.61608614125802608</v>
      </c>
      <c r="I1617" s="1037"/>
    </row>
    <row r="1618" spans="1:9" ht="17.100000000000001" customHeight="1">
      <c r="A1618" s="1394"/>
      <c r="B1618" s="1395"/>
      <c r="C1618" s="1545" t="s">
        <v>636</v>
      </c>
      <c r="D1618" s="1546" t="s">
        <v>578</v>
      </c>
      <c r="E1618" s="1302">
        <f>7977+1305</f>
        <v>9282</v>
      </c>
      <c r="F1618" s="1302">
        <v>6282</v>
      </c>
      <c r="G1618" s="1302">
        <v>3853</v>
      </c>
      <c r="H1618" s="1303">
        <f t="shared" si="378"/>
        <v>0.61333970073225086</v>
      </c>
      <c r="I1618" s="1037"/>
    </row>
    <row r="1619" spans="1:9" ht="17.100000000000001" customHeight="1">
      <c r="A1619" s="1394"/>
      <c r="B1619" s="1395"/>
      <c r="C1619" s="1548" t="s">
        <v>762</v>
      </c>
      <c r="D1619" s="1549" t="s">
        <v>580</v>
      </c>
      <c r="E1619" s="1302">
        <f>6827+2220</f>
        <v>9047</v>
      </c>
      <c r="F1619" s="1302">
        <v>9047</v>
      </c>
      <c r="G1619" s="1302">
        <v>5833</v>
      </c>
      <c r="H1619" s="1303">
        <f t="shared" si="378"/>
        <v>0.64474411407096277</v>
      </c>
      <c r="I1619" s="1037"/>
    </row>
    <row r="1620" spans="1:9" ht="17.100000000000001" customHeight="1">
      <c r="A1620" s="1394"/>
      <c r="B1620" s="1395"/>
      <c r="C1620" s="1561" t="s">
        <v>763</v>
      </c>
      <c r="D1620" s="1562" t="s">
        <v>580</v>
      </c>
      <c r="E1620" s="1302">
        <f>1205+414</f>
        <v>1619</v>
      </c>
      <c r="F1620" s="1302">
        <v>1619</v>
      </c>
      <c r="G1620" s="1302">
        <v>1042</v>
      </c>
      <c r="H1620" s="1303">
        <f t="shared" si="378"/>
        <v>0.64360716491661518</v>
      </c>
      <c r="I1620" s="1037"/>
    </row>
    <row r="1621" spans="1:9" ht="17.100000000000001" customHeight="1">
      <c r="A1621" s="1394"/>
      <c r="B1621" s="1395"/>
      <c r="C1621" s="1125" t="s">
        <v>637</v>
      </c>
      <c r="D1621" s="1126" t="s">
        <v>581</v>
      </c>
      <c r="E1621" s="1625">
        <f>401650+134561</f>
        <v>536211</v>
      </c>
      <c r="F1621" s="1625">
        <v>503440</v>
      </c>
      <c r="G1621" s="1625">
        <v>345765</v>
      </c>
      <c r="H1621" s="1626">
        <f t="shared" si="378"/>
        <v>0.68680478309232484</v>
      </c>
      <c r="I1621" s="1037"/>
    </row>
    <row r="1622" spans="1:9" ht="17.100000000000001" customHeight="1">
      <c r="A1622" s="1394"/>
      <c r="B1622" s="1395"/>
      <c r="C1622" s="1552" t="s">
        <v>638</v>
      </c>
      <c r="D1622" s="1553" t="s">
        <v>581</v>
      </c>
      <c r="E1622" s="1625">
        <f>70880+25099</f>
        <v>95979</v>
      </c>
      <c r="F1622" s="1625">
        <v>90550</v>
      </c>
      <c r="G1622" s="1625">
        <v>61955</v>
      </c>
      <c r="H1622" s="1626">
        <f t="shared" si="378"/>
        <v>0.68420762009939262</v>
      </c>
      <c r="I1622" s="1037"/>
    </row>
    <row r="1623" spans="1:9" ht="16.5" customHeight="1">
      <c r="A1623" s="1394"/>
      <c r="B1623" s="1395"/>
      <c r="C1623" s="1552" t="s">
        <v>764</v>
      </c>
      <c r="D1623" s="1553" t="s">
        <v>583</v>
      </c>
      <c r="E1623" s="1625">
        <f>29750+9271</f>
        <v>39021</v>
      </c>
      <c r="F1623" s="1625">
        <v>28821</v>
      </c>
      <c r="G1623" s="1625">
        <v>15285</v>
      </c>
      <c r="H1623" s="1626">
        <f t="shared" si="378"/>
        <v>0.53034245862392004</v>
      </c>
      <c r="I1623" s="1037"/>
    </row>
    <row r="1624" spans="1:9" ht="16.5" customHeight="1">
      <c r="A1624" s="1394"/>
      <c r="B1624" s="1395"/>
      <c r="C1624" s="1552" t="s">
        <v>786</v>
      </c>
      <c r="D1624" s="1553" t="s">
        <v>583</v>
      </c>
      <c r="E1624" s="1625">
        <f>5250+1729</f>
        <v>6979</v>
      </c>
      <c r="F1624" s="1625">
        <v>5179</v>
      </c>
      <c r="G1624" s="1625">
        <v>2728</v>
      </c>
      <c r="H1624" s="1626">
        <f t="shared" si="378"/>
        <v>0.52674261440432513</v>
      </c>
      <c r="I1624" s="1037"/>
    </row>
    <row r="1625" spans="1:9" ht="16.5" customHeight="1">
      <c r="A1625" s="1394"/>
      <c r="B1625" s="1395"/>
      <c r="C1625" s="1552" t="s">
        <v>741</v>
      </c>
      <c r="D1625" s="1553" t="s">
        <v>740</v>
      </c>
      <c r="E1625" s="1625">
        <f>850+337</f>
        <v>1187</v>
      </c>
      <c r="F1625" s="1625">
        <v>1187</v>
      </c>
      <c r="G1625" s="1625">
        <v>0</v>
      </c>
      <c r="H1625" s="1626">
        <f t="shared" si="378"/>
        <v>0</v>
      </c>
      <c r="I1625" s="1037"/>
    </row>
    <row r="1626" spans="1:9" ht="16.5" customHeight="1">
      <c r="A1626" s="1394"/>
      <c r="B1626" s="1395"/>
      <c r="C1626" s="1552" t="s">
        <v>742</v>
      </c>
      <c r="D1626" s="1553" t="s">
        <v>740</v>
      </c>
      <c r="E1626" s="1625">
        <f>150+63</f>
        <v>213</v>
      </c>
      <c r="F1626" s="1625">
        <v>213</v>
      </c>
      <c r="G1626" s="1625">
        <v>0</v>
      </c>
      <c r="H1626" s="1626">
        <f t="shared" si="378"/>
        <v>0</v>
      </c>
      <c r="I1626" s="1037"/>
    </row>
    <row r="1627" spans="1:9" ht="16.5" customHeight="1">
      <c r="A1627" s="1394"/>
      <c r="B1627" s="1395"/>
      <c r="C1627" s="1552" t="s">
        <v>639</v>
      </c>
      <c r="D1627" s="1553" t="s">
        <v>584</v>
      </c>
      <c r="E1627" s="1625">
        <v>0</v>
      </c>
      <c r="F1627" s="1625">
        <v>94335</v>
      </c>
      <c r="G1627" s="1625">
        <v>94335</v>
      </c>
      <c r="H1627" s="1626">
        <f t="shared" si="378"/>
        <v>1</v>
      </c>
      <c r="I1627" s="1037"/>
    </row>
    <row r="1628" spans="1:9" ht="16.5" customHeight="1">
      <c r="A1628" s="1394"/>
      <c r="B1628" s="1395"/>
      <c r="C1628" s="1552" t="s">
        <v>640</v>
      </c>
      <c r="D1628" s="1553" t="s">
        <v>584</v>
      </c>
      <c r="E1628" s="1625">
        <v>0</v>
      </c>
      <c r="F1628" s="1625">
        <v>17596</v>
      </c>
      <c r="G1628" s="1625">
        <v>17595</v>
      </c>
      <c r="H1628" s="1626">
        <f t="shared" si="378"/>
        <v>0.99994316890202317</v>
      </c>
      <c r="I1628" s="1037"/>
    </row>
    <row r="1629" spans="1:9" ht="16.5" customHeight="1">
      <c r="A1629" s="1394"/>
      <c r="B1629" s="1395"/>
      <c r="C1629" s="1552" t="s">
        <v>766</v>
      </c>
      <c r="D1629" s="1553" t="s">
        <v>586</v>
      </c>
      <c r="E1629" s="1625">
        <f>8500+147490</f>
        <v>155990</v>
      </c>
      <c r="F1629" s="1625">
        <v>155990</v>
      </c>
      <c r="G1629" s="1625">
        <v>140172</v>
      </c>
      <c r="H1629" s="1626">
        <f t="shared" si="378"/>
        <v>0.89859606385024682</v>
      </c>
      <c r="I1629" s="1037"/>
    </row>
    <row r="1630" spans="1:9" ht="16.5" customHeight="1">
      <c r="A1630" s="1394"/>
      <c r="B1630" s="1395"/>
      <c r="C1630" s="1552" t="s">
        <v>767</v>
      </c>
      <c r="D1630" s="1553" t="s">
        <v>586</v>
      </c>
      <c r="E1630" s="1625">
        <f>1500+27510</f>
        <v>29010</v>
      </c>
      <c r="F1630" s="1625">
        <v>29010</v>
      </c>
      <c r="G1630" s="1625">
        <v>26087</v>
      </c>
      <c r="H1630" s="1626">
        <f t="shared" si="378"/>
        <v>0.89924164081351254</v>
      </c>
      <c r="I1630" s="1037"/>
    </row>
    <row r="1631" spans="1:9" ht="17.100000000000001" customHeight="1">
      <c r="A1631" s="1394"/>
      <c r="B1631" s="1395"/>
      <c r="C1631" s="1552" t="s">
        <v>641</v>
      </c>
      <c r="D1631" s="1553" t="s">
        <v>588</v>
      </c>
      <c r="E1631" s="1625">
        <f>45900+45293</f>
        <v>91193</v>
      </c>
      <c r="F1631" s="1625">
        <v>77420</v>
      </c>
      <c r="G1631" s="1625">
        <v>23057</v>
      </c>
      <c r="H1631" s="1626">
        <f t="shared" si="378"/>
        <v>0.29781710152415397</v>
      </c>
      <c r="I1631" s="1037"/>
    </row>
    <row r="1632" spans="1:9" ht="17.100000000000001" customHeight="1">
      <c r="A1632" s="1394"/>
      <c r="B1632" s="1395"/>
      <c r="C1632" s="1552" t="s">
        <v>642</v>
      </c>
      <c r="D1632" s="1553" t="s">
        <v>588</v>
      </c>
      <c r="E1632" s="1625">
        <f>8100+8448</f>
        <v>16548</v>
      </c>
      <c r="F1632" s="1625">
        <v>13978</v>
      </c>
      <c r="G1632" s="1625">
        <v>4112</v>
      </c>
      <c r="H1632" s="1626">
        <f t="shared" si="378"/>
        <v>0.29417656317069679</v>
      </c>
      <c r="I1632" s="1037"/>
    </row>
    <row r="1633" spans="1:9" ht="17.100000000000001" customHeight="1">
      <c r="A1633" s="1394"/>
      <c r="B1633" s="1395"/>
      <c r="C1633" s="1552" t="s">
        <v>768</v>
      </c>
      <c r="D1633" s="1553" t="s">
        <v>598</v>
      </c>
      <c r="E1633" s="1625">
        <f>4250+506</f>
        <v>4756</v>
      </c>
      <c r="F1633" s="1625">
        <v>4756</v>
      </c>
      <c r="G1633" s="1625">
        <v>4681</v>
      </c>
      <c r="H1633" s="1626">
        <f t="shared" si="378"/>
        <v>0.98423044575273344</v>
      </c>
      <c r="I1633" s="1037"/>
    </row>
    <row r="1634" spans="1:9" ht="17.100000000000001" customHeight="1">
      <c r="A1634" s="1394"/>
      <c r="B1634" s="1395"/>
      <c r="C1634" s="1552" t="s">
        <v>769</v>
      </c>
      <c r="D1634" s="1553" t="s">
        <v>598</v>
      </c>
      <c r="E1634" s="1625">
        <f>750+94</f>
        <v>844</v>
      </c>
      <c r="F1634" s="1625">
        <v>844</v>
      </c>
      <c r="G1634" s="1625">
        <v>831</v>
      </c>
      <c r="H1634" s="1626">
        <f t="shared" si="378"/>
        <v>0.9845971563981043</v>
      </c>
      <c r="I1634" s="1037"/>
    </row>
    <row r="1635" spans="1:9" ht="17.100000000000001" customHeight="1">
      <c r="A1635" s="1394"/>
      <c r="B1635" s="1395"/>
      <c r="C1635" s="1552" t="s">
        <v>770</v>
      </c>
      <c r="D1635" s="1553" t="s">
        <v>609</v>
      </c>
      <c r="E1635" s="1625">
        <f>8160+1180</f>
        <v>9340</v>
      </c>
      <c r="F1635" s="1625">
        <v>9340</v>
      </c>
      <c r="G1635" s="1625">
        <v>0</v>
      </c>
      <c r="H1635" s="1626">
        <f t="shared" si="378"/>
        <v>0</v>
      </c>
      <c r="I1635" s="1037"/>
    </row>
    <row r="1636" spans="1:9" ht="17.100000000000001" customHeight="1">
      <c r="A1636" s="1394"/>
      <c r="B1636" s="1395"/>
      <c r="C1636" s="1552" t="s">
        <v>771</v>
      </c>
      <c r="D1636" s="1553" t="s">
        <v>609</v>
      </c>
      <c r="E1636" s="1625">
        <f>1440+220</f>
        <v>1660</v>
      </c>
      <c r="F1636" s="1625">
        <v>1660</v>
      </c>
      <c r="G1636" s="1625">
        <v>0</v>
      </c>
      <c r="H1636" s="1626">
        <f t="shared" si="378"/>
        <v>0</v>
      </c>
      <c r="I1636" s="1037"/>
    </row>
    <row r="1637" spans="1:9" ht="17.100000000000001" customHeight="1">
      <c r="A1637" s="1394"/>
      <c r="B1637" s="1395"/>
      <c r="C1637" s="1552" t="s">
        <v>645</v>
      </c>
      <c r="D1637" s="1553" t="s">
        <v>601</v>
      </c>
      <c r="E1637" s="1625">
        <f>175950+53096</f>
        <v>229046</v>
      </c>
      <c r="F1637" s="1625">
        <v>229046</v>
      </c>
      <c r="G1637" s="1625">
        <v>141548</v>
      </c>
      <c r="H1637" s="1626">
        <f t="shared" si="378"/>
        <v>0.6179893995092689</v>
      </c>
      <c r="I1637" s="1037"/>
    </row>
    <row r="1638" spans="1:9" ht="17.100000000000001" customHeight="1">
      <c r="A1638" s="1394"/>
      <c r="B1638" s="1395"/>
      <c r="C1638" s="1552" t="s">
        <v>646</v>
      </c>
      <c r="D1638" s="1553" t="s">
        <v>601</v>
      </c>
      <c r="E1638" s="1625">
        <f>31050+9904</f>
        <v>40954</v>
      </c>
      <c r="F1638" s="1625">
        <v>40954</v>
      </c>
      <c r="G1638" s="1625">
        <v>25259</v>
      </c>
      <c r="H1638" s="1626">
        <f t="shared" si="378"/>
        <v>0.61676515114518726</v>
      </c>
      <c r="I1638" s="1037"/>
    </row>
    <row r="1639" spans="1:9" ht="12.75" customHeight="1">
      <c r="A1639" s="1394"/>
      <c r="B1639" s="1395"/>
      <c r="C1639" s="1098"/>
      <c r="D1639" s="1098"/>
      <c r="E1639" s="1440"/>
      <c r="F1639" s="1440"/>
      <c r="G1639" s="1440"/>
      <c r="H1639" s="1441"/>
      <c r="I1639" s="1037"/>
    </row>
    <row r="1640" spans="1:9" ht="17.100000000000001" customHeight="1">
      <c r="A1640" s="1394"/>
      <c r="B1640" s="1395"/>
      <c r="C1640" s="2159" t="s">
        <v>605</v>
      </c>
      <c r="D1640" s="2159"/>
      <c r="E1640" s="1083">
        <f>E1641</f>
        <v>222000</v>
      </c>
      <c r="F1640" s="1083">
        <f t="shared" ref="F1640:G1640" si="379">F1641</f>
        <v>213300</v>
      </c>
      <c r="G1640" s="1083">
        <f t="shared" si="379"/>
        <v>166653</v>
      </c>
      <c r="H1640" s="1084">
        <f t="shared" si="378"/>
        <v>0.78130801687763718</v>
      </c>
      <c r="I1640" s="1037"/>
    </row>
    <row r="1641" spans="1:9" ht="17.100000000000001" customHeight="1">
      <c r="A1641" s="1394"/>
      <c r="B1641" s="1395"/>
      <c r="C1641" s="2161" t="s">
        <v>606</v>
      </c>
      <c r="D1641" s="2161"/>
      <c r="E1641" s="1079">
        <f>SUM(E1642:E1645)</f>
        <v>222000</v>
      </c>
      <c r="F1641" s="1079">
        <f t="shared" ref="F1641:G1641" si="380">SUM(F1642:F1645)</f>
        <v>213300</v>
      </c>
      <c r="G1641" s="1079">
        <f t="shared" si="380"/>
        <v>166653</v>
      </c>
      <c r="H1641" s="1080">
        <f t="shared" si="378"/>
        <v>0.78130801687763718</v>
      </c>
      <c r="I1641" s="1037"/>
    </row>
    <row r="1642" spans="1:9" ht="17.100000000000001" customHeight="1">
      <c r="A1642" s="1394"/>
      <c r="B1642" s="1395"/>
      <c r="C1642" s="1552" t="s">
        <v>26</v>
      </c>
      <c r="D1642" s="1553" t="s">
        <v>607</v>
      </c>
      <c r="E1642" s="1079">
        <v>100000</v>
      </c>
      <c r="F1642" s="1079">
        <v>100000</v>
      </c>
      <c r="G1642" s="1079">
        <v>93896</v>
      </c>
      <c r="H1642" s="1080">
        <f t="shared" si="378"/>
        <v>0.93896000000000002</v>
      </c>
      <c r="I1642" s="1037"/>
    </row>
    <row r="1643" spans="1:9" ht="15.75" customHeight="1">
      <c r="A1643" s="1394"/>
      <c r="B1643" s="1395"/>
      <c r="C1643" s="1552" t="s">
        <v>144</v>
      </c>
      <c r="D1643" s="1553" t="s">
        <v>650</v>
      </c>
      <c r="E1643" s="1079">
        <v>32000</v>
      </c>
      <c r="F1643" s="1079">
        <v>32000</v>
      </c>
      <c r="G1643" s="1079">
        <v>26950</v>
      </c>
      <c r="H1643" s="1080">
        <f t="shared" si="378"/>
        <v>0.84218749999999998</v>
      </c>
      <c r="I1643" s="1037"/>
    </row>
    <row r="1644" spans="1:9" ht="17.100000000000001" customHeight="1">
      <c r="A1644" s="1394"/>
      <c r="B1644" s="1395"/>
      <c r="C1644" s="1552" t="s">
        <v>708</v>
      </c>
      <c r="D1644" s="1553" t="s">
        <v>650</v>
      </c>
      <c r="E1644" s="1079">
        <v>76500</v>
      </c>
      <c r="F1644" s="1079">
        <v>68961</v>
      </c>
      <c r="G1644" s="1079">
        <v>38867</v>
      </c>
      <c r="H1644" s="1080">
        <f t="shared" si="378"/>
        <v>0.56360841635127101</v>
      </c>
      <c r="I1644" s="1037"/>
    </row>
    <row r="1645" spans="1:9" ht="17.100000000000001" customHeight="1">
      <c r="A1645" s="1394"/>
      <c r="B1645" s="1395"/>
      <c r="C1645" s="1552" t="s">
        <v>693</v>
      </c>
      <c r="D1645" s="1553" t="s">
        <v>650</v>
      </c>
      <c r="E1645" s="1079">
        <v>13500</v>
      </c>
      <c r="F1645" s="1079">
        <v>12339</v>
      </c>
      <c r="G1645" s="1079">
        <v>6940</v>
      </c>
      <c r="H1645" s="1080">
        <f t="shared" si="378"/>
        <v>0.56244428235675503</v>
      </c>
      <c r="I1645" s="1037"/>
    </row>
    <row r="1646" spans="1:9" ht="15" customHeight="1">
      <c r="A1646" s="1394"/>
      <c r="B1646" s="1395"/>
      <c r="C1646" s="1098"/>
      <c r="D1646" s="1117"/>
      <c r="E1646" s="1447"/>
      <c r="F1646" s="1447"/>
      <c r="G1646" s="1447"/>
      <c r="H1646" s="1080"/>
      <c r="I1646" s="1037"/>
    </row>
    <row r="1647" spans="1:9" ht="17.25" customHeight="1">
      <c r="A1647" s="1394"/>
      <c r="B1647" s="1395"/>
      <c r="C1647" s="2175" t="s">
        <v>614</v>
      </c>
      <c r="D1647" s="2191"/>
      <c r="E1647" s="1079">
        <f>SUM(E1648:E1649)</f>
        <v>90000</v>
      </c>
      <c r="F1647" s="1079">
        <f t="shared" ref="F1647:G1647" si="381">SUM(F1648:F1649)</f>
        <v>81300</v>
      </c>
      <c r="G1647" s="1079">
        <f t="shared" si="381"/>
        <v>45807</v>
      </c>
      <c r="H1647" s="1080">
        <f t="shared" si="378"/>
        <v>0.56343173431734317</v>
      </c>
      <c r="I1647" s="1037"/>
    </row>
    <row r="1648" spans="1:9" ht="17.100000000000001" customHeight="1">
      <c r="A1648" s="1394"/>
      <c r="B1648" s="1395"/>
      <c r="C1648" s="1631" t="s">
        <v>708</v>
      </c>
      <c r="D1648" s="1632" t="s">
        <v>650</v>
      </c>
      <c r="E1648" s="1079">
        <v>76500</v>
      </c>
      <c r="F1648" s="1079">
        <v>68961</v>
      </c>
      <c r="G1648" s="1079">
        <v>38867</v>
      </c>
      <c r="H1648" s="1080">
        <f t="shared" si="378"/>
        <v>0.56360841635127101</v>
      </c>
      <c r="I1648" s="1037"/>
    </row>
    <row r="1649" spans="1:9" ht="17.100000000000001" customHeight="1" thickBot="1">
      <c r="A1649" s="1394"/>
      <c r="B1649" s="1395"/>
      <c r="C1649" s="1251" t="s">
        <v>693</v>
      </c>
      <c r="D1649" s="1252" t="s">
        <v>650</v>
      </c>
      <c r="E1649" s="1079">
        <v>13500</v>
      </c>
      <c r="F1649" s="1079">
        <v>12339</v>
      </c>
      <c r="G1649" s="1079">
        <v>6940</v>
      </c>
      <c r="H1649" s="1080">
        <f t="shared" si="378"/>
        <v>0.56244428235675503</v>
      </c>
      <c r="I1649" s="1037"/>
    </row>
    <row r="1650" spans="1:9" ht="17.100000000000001" customHeight="1" thickBot="1">
      <c r="A1650" s="1394"/>
      <c r="B1650" s="1144" t="s">
        <v>927</v>
      </c>
      <c r="C1650" s="1145"/>
      <c r="D1650" s="1146" t="s">
        <v>11</v>
      </c>
      <c r="E1650" s="1147">
        <f>E1651+E1677</f>
        <v>8942444</v>
      </c>
      <c r="F1650" s="1147">
        <f>F1651+F1677</f>
        <v>9281397</v>
      </c>
      <c r="G1650" s="1147">
        <f>G1651+G1677</f>
        <v>7787062</v>
      </c>
      <c r="H1650" s="1148">
        <f t="shared" si="378"/>
        <v>0.8389967587853423</v>
      </c>
      <c r="I1650" s="1037"/>
    </row>
    <row r="1651" spans="1:9" ht="17.100000000000001" customHeight="1">
      <c r="A1651" s="1394"/>
      <c r="B1651" s="2154"/>
      <c r="C1651" s="2112" t="s">
        <v>560</v>
      </c>
      <c r="D1651" s="2112"/>
      <c r="E1651" s="1063">
        <f>E1652+E1659</f>
        <v>8942444</v>
      </c>
      <c r="F1651" s="1063">
        <f t="shared" ref="F1651:G1651" si="382">F1652+F1659</f>
        <v>9228877</v>
      </c>
      <c r="G1651" s="1063">
        <f t="shared" si="382"/>
        <v>7734544</v>
      </c>
      <c r="H1651" s="1064">
        <f t="shared" si="378"/>
        <v>0.83808073289957163</v>
      </c>
      <c r="I1651" s="1037"/>
    </row>
    <row r="1652" spans="1:9" ht="17.100000000000001" customHeight="1">
      <c r="A1652" s="1394"/>
      <c r="B1652" s="2154"/>
      <c r="C1652" s="2180" t="s">
        <v>647</v>
      </c>
      <c r="D1652" s="2180"/>
      <c r="E1652" s="1543">
        <f>SUM(E1653:E1657)</f>
        <v>8942444</v>
      </c>
      <c r="F1652" s="1543">
        <f t="shared" ref="F1652:G1652" si="383">SUM(F1653:F1657)</f>
        <v>9162156</v>
      </c>
      <c r="G1652" s="1543">
        <f t="shared" si="383"/>
        <v>7675665</v>
      </c>
      <c r="H1652" s="1544">
        <f t="shared" si="378"/>
        <v>0.83775751035018398</v>
      </c>
      <c r="I1652" s="1037"/>
    </row>
    <row r="1653" spans="1:9" ht="53.25" customHeight="1">
      <c r="A1653" s="1394"/>
      <c r="B1653" s="2154"/>
      <c r="C1653" s="1629" t="s">
        <v>508</v>
      </c>
      <c r="D1653" s="1567" t="s">
        <v>665</v>
      </c>
      <c r="E1653" s="1079">
        <f>6339802+1461000</f>
        <v>7800802</v>
      </c>
      <c r="F1653" s="1079">
        <v>7668390</v>
      </c>
      <c r="G1653" s="1079">
        <v>6320378</v>
      </c>
      <c r="H1653" s="1080">
        <f t="shared" si="378"/>
        <v>0.82421186194233731</v>
      </c>
    </row>
    <row r="1654" spans="1:9" ht="53.25" customHeight="1">
      <c r="A1654" s="1394"/>
      <c r="B1654" s="2154"/>
      <c r="C1654" s="1629" t="s">
        <v>359</v>
      </c>
      <c r="D1654" s="1633" t="s">
        <v>619</v>
      </c>
      <c r="E1654" s="1079">
        <v>1141642</v>
      </c>
      <c r="F1654" s="1079">
        <v>473500</v>
      </c>
      <c r="G1654" s="1079">
        <v>335029</v>
      </c>
      <c r="H1654" s="1080">
        <f t="shared" si="378"/>
        <v>0.70755860612460397</v>
      </c>
    </row>
    <row r="1655" spans="1:9" ht="41.25" customHeight="1">
      <c r="A1655" s="1394"/>
      <c r="B1655" s="1514"/>
      <c r="C1655" s="1552" t="s">
        <v>659</v>
      </c>
      <c r="D1655" s="1143" t="s">
        <v>660</v>
      </c>
      <c r="E1655" s="1483">
        <v>0</v>
      </c>
      <c r="F1655" s="1483">
        <v>2221</v>
      </c>
      <c r="G1655" s="1483">
        <v>2220</v>
      </c>
      <c r="H1655" s="1485">
        <f t="shared" si="378"/>
        <v>0.99954975236380006</v>
      </c>
    </row>
    <row r="1656" spans="1:9" ht="39" customHeight="1">
      <c r="A1656" s="1394"/>
      <c r="B1656" s="1514"/>
      <c r="C1656" s="1552" t="s">
        <v>474</v>
      </c>
      <c r="D1656" s="1143" t="s">
        <v>660</v>
      </c>
      <c r="E1656" s="1543">
        <v>0</v>
      </c>
      <c r="F1656" s="1543">
        <v>5153</v>
      </c>
      <c r="G1656" s="1543">
        <v>5151</v>
      </c>
      <c r="H1656" s="1544">
        <f t="shared" si="378"/>
        <v>0.99961187657675143</v>
      </c>
    </row>
    <row r="1657" spans="1:9" ht="18.75" customHeight="1">
      <c r="A1657" s="1394"/>
      <c r="B1657" s="1514"/>
      <c r="C1657" s="1629" t="s">
        <v>476</v>
      </c>
      <c r="D1657" s="1633" t="s">
        <v>613</v>
      </c>
      <c r="E1657" s="1079">
        <v>0</v>
      </c>
      <c r="F1657" s="1079">
        <v>1012892</v>
      </c>
      <c r="G1657" s="1079">
        <v>1012887</v>
      </c>
      <c r="H1657" s="1080">
        <f t="shared" si="378"/>
        <v>0.99999506363955881</v>
      </c>
    </row>
    <row r="1658" spans="1:9" ht="18" customHeight="1">
      <c r="A1658" s="1394"/>
      <c r="B1658" s="1514"/>
      <c r="C1658" s="1266"/>
      <c r="D1658" s="1286"/>
      <c r="E1658" s="1543"/>
      <c r="F1658" s="1543"/>
      <c r="G1658" s="1543"/>
      <c r="H1658" s="1544"/>
    </row>
    <row r="1659" spans="1:9" ht="18" customHeight="1">
      <c r="A1659" s="1394"/>
      <c r="B1659" s="1514"/>
      <c r="C1659" s="2187" t="s">
        <v>616</v>
      </c>
      <c r="D1659" s="2187"/>
      <c r="E1659" s="1543">
        <f>SUM(E1660:E1675)</f>
        <v>0</v>
      </c>
      <c r="F1659" s="1543">
        <f>SUM(F1660:F1675)</f>
        <v>66721</v>
      </c>
      <c r="G1659" s="1543">
        <f>SUM(G1660:G1675)</f>
        <v>58879</v>
      </c>
      <c r="H1659" s="1544">
        <f t="shared" si="378"/>
        <v>0.88246579038083961</v>
      </c>
    </row>
    <row r="1660" spans="1:9" ht="18" customHeight="1">
      <c r="A1660" s="1394"/>
      <c r="B1660" s="1514"/>
      <c r="C1660" s="1552" t="s">
        <v>668</v>
      </c>
      <c r="D1660" s="1546" t="s">
        <v>563</v>
      </c>
      <c r="E1660" s="1634">
        <v>0</v>
      </c>
      <c r="F1660" s="1634">
        <v>40749</v>
      </c>
      <c r="G1660" s="1634">
        <v>35972</v>
      </c>
      <c r="H1660" s="1635">
        <f t="shared" si="378"/>
        <v>0.8827701293283271</v>
      </c>
    </row>
    <row r="1661" spans="1:9" ht="18.75" customHeight="1">
      <c r="A1661" s="1394"/>
      <c r="B1661" s="1514"/>
      <c r="C1661" s="1552" t="s">
        <v>621</v>
      </c>
      <c r="D1661" s="1546" t="s">
        <v>563</v>
      </c>
      <c r="E1661" s="1634">
        <v>0</v>
      </c>
      <c r="F1661" s="1634">
        <v>7601</v>
      </c>
      <c r="G1661" s="1634">
        <v>6709</v>
      </c>
      <c r="H1661" s="1635">
        <f t="shared" si="378"/>
        <v>0.88264702012893037</v>
      </c>
    </row>
    <row r="1662" spans="1:9" ht="17.25" customHeight="1">
      <c r="A1662" s="1394"/>
      <c r="B1662" s="1514"/>
      <c r="C1662" s="1636" t="s">
        <v>669</v>
      </c>
      <c r="D1662" s="1630" t="s">
        <v>566</v>
      </c>
      <c r="E1662" s="1634">
        <v>0</v>
      </c>
      <c r="F1662" s="1634">
        <v>6900</v>
      </c>
      <c r="G1662" s="1634">
        <v>6090</v>
      </c>
      <c r="H1662" s="1635">
        <f t="shared" si="378"/>
        <v>0.88260869565217392</v>
      </c>
    </row>
    <row r="1663" spans="1:9" ht="21" customHeight="1">
      <c r="A1663" s="1394"/>
      <c r="B1663" s="1514"/>
      <c r="C1663" s="1125" t="s">
        <v>625</v>
      </c>
      <c r="D1663" s="1630" t="s">
        <v>566</v>
      </c>
      <c r="E1663" s="1103">
        <v>0</v>
      </c>
      <c r="F1663" s="1103">
        <v>1287</v>
      </c>
      <c r="G1663" s="1103">
        <v>1136</v>
      </c>
      <c r="H1663" s="1104">
        <f t="shared" si="378"/>
        <v>0.88267288267288269</v>
      </c>
    </row>
    <row r="1664" spans="1:9" ht="17.25" customHeight="1">
      <c r="A1664" s="1394"/>
      <c r="B1664" s="1514"/>
      <c r="C1664" s="1552" t="s">
        <v>670</v>
      </c>
      <c r="D1664" s="1553" t="s">
        <v>567</v>
      </c>
      <c r="E1664" s="1483">
        <v>0</v>
      </c>
      <c r="F1664" s="1483">
        <v>998</v>
      </c>
      <c r="G1664" s="1483">
        <v>881</v>
      </c>
      <c r="H1664" s="1485">
        <f t="shared" ref="H1664:H1727" si="384">G1664/F1664</f>
        <v>0.8827655310621243</v>
      </c>
    </row>
    <row r="1665" spans="1:9" ht="18" customHeight="1">
      <c r="A1665" s="1394"/>
      <c r="B1665" s="1514"/>
      <c r="C1665" s="1552" t="s">
        <v>627</v>
      </c>
      <c r="D1665" s="1553" t="s">
        <v>567</v>
      </c>
      <c r="E1665" s="1543">
        <v>0</v>
      </c>
      <c r="F1665" s="1543">
        <v>186</v>
      </c>
      <c r="G1665" s="1543">
        <v>164</v>
      </c>
      <c r="H1665" s="1544">
        <f t="shared" si="384"/>
        <v>0.88172043010752688</v>
      </c>
    </row>
    <row r="1666" spans="1:9" ht="18.75" customHeight="1">
      <c r="A1666" s="1394"/>
      <c r="B1666" s="1514"/>
      <c r="C1666" s="1545" t="s">
        <v>671</v>
      </c>
      <c r="D1666" s="1546" t="s">
        <v>573</v>
      </c>
      <c r="E1666" s="1543">
        <v>0</v>
      </c>
      <c r="F1666" s="1543">
        <v>2529</v>
      </c>
      <c r="G1666" s="1543">
        <v>2525</v>
      </c>
      <c r="H1666" s="1544">
        <f t="shared" si="384"/>
        <v>0.99841834717279554</v>
      </c>
    </row>
    <row r="1667" spans="1:9" ht="18.75" customHeight="1">
      <c r="A1667" s="1394"/>
      <c r="B1667" s="1514"/>
      <c r="C1667" s="1552" t="s">
        <v>634</v>
      </c>
      <c r="D1667" s="1546" t="s">
        <v>573</v>
      </c>
      <c r="E1667" s="1543">
        <v>0</v>
      </c>
      <c r="F1667" s="1543">
        <v>471</v>
      </c>
      <c r="G1667" s="1543">
        <v>471</v>
      </c>
      <c r="H1667" s="1544">
        <f t="shared" si="384"/>
        <v>1</v>
      </c>
    </row>
    <row r="1668" spans="1:9" ht="18" customHeight="1">
      <c r="A1668" s="1394"/>
      <c r="B1668" s="1514"/>
      <c r="C1668" s="1552" t="s">
        <v>908</v>
      </c>
      <c r="D1668" s="1553" t="s">
        <v>580</v>
      </c>
      <c r="E1668" s="1543">
        <v>0</v>
      </c>
      <c r="F1668" s="1543">
        <v>84</v>
      </c>
      <c r="G1668" s="1543">
        <v>0</v>
      </c>
      <c r="H1668" s="1544">
        <f t="shared" si="384"/>
        <v>0</v>
      </c>
    </row>
    <row r="1669" spans="1:9" ht="17.25" customHeight="1">
      <c r="A1669" s="1394"/>
      <c r="B1669" s="1514"/>
      <c r="C1669" s="1552" t="s">
        <v>763</v>
      </c>
      <c r="D1669" s="1553" t="s">
        <v>580</v>
      </c>
      <c r="E1669" s="1543">
        <v>0</v>
      </c>
      <c r="F1669" s="1543">
        <v>16</v>
      </c>
      <c r="G1669" s="1543">
        <v>0</v>
      </c>
      <c r="H1669" s="1544">
        <f t="shared" si="384"/>
        <v>0</v>
      </c>
      <c r="I1669" s="1037"/>
    </row>
    <row r="1670" spans="1:9" ht="18.75" customHeight="1">
      <c r="A1670" s="1394"/>
      <c r="B1670" s="1514"/>
      <c r="C1670" s="1552" t="s">
        <v>672</v>
      </c>
      <c r="D1670" s="1553" t="s">
        <v>581</v>
      </c>
      <c r="E1670" s="1543">
        <v>0</v>
      </c>
      <c r="F1670" s="1543">
        <v>3076</v>
      </c>
      <c r="G1670" s="1543">
        <v>3076</v>
      </c>
      <c r="H1670" s="1544">
        <f t="shared" si="384"/>
        <v>1</v>
      </c>
      <c r="I1670" s="1037"/>
    </row>
    <row r="1671" spans="1:9" ht="18" customHeight="1">
      <c r="A1671" s="1394"/>
      <c r="B1671" s="1514"/>
      <c r="C1671" s="1552" t="s">
        <v>638</v>
      </c>
      <c r="D1671" s="1553" t="s">
        <v>581</v>
      </c>
      <c r="E1671" s="1543">
        <v>0</v>
      </c>
      <c r="F1671" s="1543">
        <v>574</v>
      </c>
      <c r="G1671" s="1543">
        <v>574</v>
      </c>
      <c r="H1671" s="1544">
        <f t="shared" si="384"/>
        <v>1</v>
      </c>
      <c r="I1671" s="1037"/>
    </row>
    <row r="1672" spans="1:9" ht="18" customHeight="1">
      <c r="A1672" s="1394"/>
      <c r="B1672" s="1514"/>
      <c r="C1672" s="1552" t="s">
        <v>673</v>
      </c>
      <c r="D1672" s="1553" t="s">
        <v>588</v>
      </c>
      <c r="E1672" s="1543">
        <v>0</v>
      </c>
      <c r="F1672" s="1543">
        <v>1054</v>
      </c>
      <c r="G1672" s="1543">
        <v>250</v>
      </c>
      <c r="H1672" s="1544">
        <f t="shared" si="384"/>
        <v>0.23719165085388993</v>
      </c>
      <c r="I1672" s="1037"/>
    </row>
    <row r="1673" spans="1:9" ht="18.75" customHeight="1">
      <c r="A1673" s="1394"/>
      <c r="B1673" s="1514"/>
      <c r="C1673" s="1552" t="s">
        <v>642</v>
      </c>
      <c r="D1673" s="1553" t="s">
        <v>588</v>
      </c>
      <c r="E1673" s="1634">
        <v>0</v>
      </c>
      <c r="F1673" s="1634">
        <v>196</v>
      </c>
      <c r="G1673" s="1634">
        <v>47</v>
      </c>
      <c r="H1673" s="1635">
        <f t="shared" si="384"/>
        <v>0.23979591836734693</v>
      </c>
      <c r="I1673" s="1037"/>
    </row>
    <row r="1674" spans="1:9" ht="16.5" customHeight="1">
      <c r="A1674" s="1394"/>
      <c r="B1674" s="1514"/>
      <c r="C1674" s="1548" t="s">
        <v>910</v>
      </c>
      <c r="D1674" s="1549" t="s">
        <v>592</v>
      </c>
      <c r="E1674" s="1634">
        <v>0</v>
      </c>
      <c r="F1674" s="1634">
        <v>843</v>
      </c>
      <c r="G1674" s="1634">
        <v>829</v>
      </c>
      <c r="H1674" s="1635">
        <f t="shared" si="384"/>
        <v>0.98339264531435355</v>
      </c>
      <c r="I1674" s="1037"/>
    </row>
    <row r="1675" spans="1:9" ht="16.5" customHeight="1">
      <c r="A1675" s="1394"/>
      <c r="B1675" s="1514"/>
      <c r="C1675" s="1101" t="s">
        <v>911</v>
      </c>
      <c r="D1675" s="1108" t="s">
        <v>592</v>
      </c>
      <c r="E1675" s="1103">
        <v>0</v>
      </c>
      <c r="F1675" s="1103">
        <v>157</v>
      </c>
      <c r="G1675" s="1103">
        <v>155</v>
      </c>
      <c r="H1675" s="1104">
        <f t="shared" si="384"/>
        <v>0.98726114649681529</v>
      </c>
      <c r="I1675" s="1037"/>
    </row>
    <row r="1676" spans="1:9" ht="13.5" customHeight="1">
      <c r="A1676" s="1394"/>
      <c r="B1676" s="1514"/>
      <c r="C1676" s="2188"/>
      <c r="D1676" s="2189"/>
      <c r="E1676" s="1483"/>
      <c r="F1676" s="1483"/>
      <c r="G1676" s="1483"/>
      <c r="H1676" s="1485"/>
      <c r="I1676" s="1037"/>
    </row>
    <row r="1677" spans="1:9" ht="16.5" customHeight="1">
      <c r="A1677" s="1394"/>
      <c r="B1677" s="1514"/>
      <c r="C1677" s="2159" t="s">
        <v>605</v>
      </c>
      <c r="D1677" s="2159"/>
      <c r="E1677" s="1637">
        <f>E1678</f>
        <v>0</v>
      </c>
      <c r="F1677" s="1637">
        <f t="shared" ref="F1677:G1677" si="385">F1678</f>
        <v>52520</v>
      </c>
      <c r="G1677" s="1637">
        <f t="shared" si="385"/>
        <v>52518</v>
      </c>
      <c r="H1677" s="1638">
        <f t="shared" si="384"/>
        <v>0.99996191926884992</v>
      </c>
      <c r="I1677" s="1037"/>
    </row>
    <row r="1678" spans="1:9" ht="16.5" customHeight="1">
      <c r="A1678" s="1394"/>
      <c r="B1678" s="1514"/>
      <c r="C1678" s="2161" t="s">
        <v>606</v>
      </c>
      <c r="D1678" s="2161"/>
      <c r="E1678" s="1543">
        <f>SUM(E1679:E1680)</f>
        <v>0</v>
      </c>
      <c r="F1678" s="1543">
        <f t="shared" ref="F1678:G1678" si="386">SUM(F1679:F1680)</f>
        <v>52520</v>
      </c>
      <c r="G1678" s="1543">
        <f t="shared" si="386"/>
        <v>52518</v>
      </c>
      <c r="H1678" s="1544">
        <f t="shared" si="384"/>
        <v>0.99996191926884992</v>
      </c>
      <c r="I1678" s="1037"/>
    </row>
    <row r="1679" spans="1:9" ht="54.75" customHeight="1">
      <c r="A1679" s="1394"/>
      <c r="B1679" s="1514"/>
      <c r="C1679" s="1552" t="s">
        <v>679</v>
      </c>
      <c r="D1679" s="1553" t="s">
        <v>680</v>
      </c>
      <c r="E1679" s="1634">
        <v>0</v>
      </c>
      <c r="F1679" s="1634">
        <v>38279</v>
      </c>
      <c r="G1679" s="1634">
        <v>38278</v>
      </c>
      <c r="H1679" s="1635">
        <f t="shared" si="384"/>
        <v>0.99997387601556986</v>
      </c>
      <c r="I1679" s="1037"/>
    </row>
    <row r="1680" spans="1:9" ht="17.25" customHeight="1" thickBot="1">
      <c r="A1680" s="1394"/>
      <c r="B1680" s="1514"/>
      <c r="C1680" s="1552" t="s">
        <v>477</v>
      </c>
      <c r="D1680" s="1553" t="s">
        <v>774</v>
      </c>
      <c r="E1680" s="1634">
        <v>0</v>
      </c>
      <c r="F1680" s="1634">
        <v>14241</v>
      </c>
      <c r="G1680" s="1634">
        <v>14240</v>
      </c>
      <c r="H1680" s="1635">
        <f t="shared" si="384"/>
        <v>0.9999297802120638</v>
      </c>
      <c r="I1680" s="1037"/>
    </row>
    <row r="1681" spans="1:9" ht="17.100000000000001" customHeight="1" thickBot="1">
      <c r="A1681" s="1051" t="s">
        <v>86</v>
      </c>
      <c r="B1681" s="1168"/>
      <c r="C1681" s="1169"/>
      <c r="D1681" s="1170" t="s">
        <v>928</v>
      </c>
      <c r="E1681" s="1171">
        <f>SUM(E1682,E1702,E1728)</f>
        <v>2911236</v>
      </c>
      <c r="F1681" s="1171">
        <f t="shared" ref="F1681:G1681" si="387">SUM(F1682,F1702,F1728)</f>
        <v>4885619</v>
      </c>
      <c r="G1681" s="1171">
        <f t="shared" si="387"/>
        <v>4880736</v>
      </c>
      <c r="H1681" s="1172">
        <f t="shared" si="384"/>
        <v>0.99900053606308636</v>
      </c>
      <c r="I1681" s="1037"/>
    </row>
    <row r="1682" spans="1:9" ht="17.100000000000001" customHeight="1" thickBot="1">
      <c r="A1682" s="1394"/>
      <c r="B1682" s="1144" t="s">
        <v>929</v>
      </c>
      <c r="C1682" s="1145"/>
      <c r="D1682" s="1146" t="s">
        <v>515</v>
      </c>
      <c r="E1682" s="1147">
        <f t="shared" ref="E1682:G1682" si="388">E1683</f>
        <v>795736</v>
      </c>
      <c r="F1682" s="1147">
        <f t="shared" si="388"/>
        <v>824119</v>
      </c>
      <c r="G1682" s="1147">
        <f t="shared" si="388"/>
        <v>819236</v>
      </c>
      <c r="H1682" s="1148">
        <f t="shared" si="384"/>
        <v>0.99407488481639183</v>
      </c>
      <c r="I1682" s="1037"/>
    </row>
    <row r="1683" spans="1:9" ht="17.100000000000001" customHeight="1">
      <c r="A1683" s="1394"/>
      <c r="B1683" s="1395"/>
      <c r="C1683" s="2128" t="s">
        <v>560</v>
      </c>
      <c r="D1683" s="2129"/>
      <c r="E1683" s="1063">
        <f t="shared" ref="E1683:G1683" si="389">E1684+E1700</f>
        <v>795736</v>
      </c>
      <c r="F1683" s="1063">
        <f t="shared" si="389"/>
        <v>824119</v>
      </c>
      <c r="G1683" s="1063">
        <f t="shared" si="389"/>
        <v>819236</v>
      </c>
      <c r="H1683" s="1064">
        <f t="shared" si="384"/>
        <v>0.99407488481639183</v>
      </c>
      <c r="I1683" s="1037"/>
    </row>
    <row r="1684" spans="1:9" ht="17.100000000000001" customHeight="1">
      <c r="A1684" s="1394"/>
      <c r="B1684" s="1395"/>
      <c r="C1684" s="2174" t="s">
        <v>561</v>
      </c>
      <c r="D1684" s="2174"/>
      <c r="E1684" s="1079">
        <f t="shared" ref="E1684:G1684" si="390">E1685+E1691</f>
        <v>792178</v>
      </c>
      <c r="F1684" s="1079">
        <f t="shared" si="390"/>
        <v>820561</v>
      </c>
      <c r="G1684" s="1079">
        <f t="shared" si="390"/>
        <v>815678</v>
      </c>
      <c r="H1684" s="1080">
        <f t="shared" si="384"/>
        <v>0.99404919317393836</v>
      </c>
      <c r="I1684" s="1037"/>
    </row>
    <row r="1685" spans="1:9" ht="17.100000000000001" customHeight="1">
      <c r="A1685" s="1394"/>
      <c r="B1685" s="1395"/>
      <c r="C1685" s="2143" t="s">
        <v>562</v>
      </c>
      <c r="D1685" s="2143"/>
      <c r="E1685" s="1079">
        <f t="shared" ref="E1685:G1685" si="391">SUM(E1686:E1689)</f>
        <v>668787</v>
      </c>
      <c r="F1685" s="1079">
        <f t="shared" si="391"/>
        <v>694888</v>
      </c>
      <c r="G1685" s="1079">
        <f t="shared" si="391"/>
        <v>691973</v>
      </c>
      <c r="H1685" s="1080">
        <f t="shared" si="384"/>
        <v>0.99580507937969864</v>
      </c>
      <c r="I1685" s="1037"/>
    </row>
    <row r="1686" spans="1:9" ht="17.100000000000001" customHeight="1">
      <c r="A1686" s="1394"/>
      <c r="B1686" s="1395"/>
      <c r="C1686" s="1552" t="s">
        <v>145</v>
      </c>
      <c r="D1686" s="1553" t="s">
        <v>563</v>
      </c>
      <c r="E1686" s="1079">
        <v>518333</v>
      </c>
      <c r="F1686" s="1079">
        <v>544284</v>
      </c>
      <c r="G1686" s="1079">
        <v>544252</v>
      </c>
      <c r="H1686" s="1080">
        <f t="shared" si="384"/>
        <v>0.99994120716390711</v>
      </c>
      <c r="I1686" s="1037"/>
    </row>
    <row r="1687" spans="1:9" ht="17.100000000000001" customHeight="1">
      <c r="A1687" s="1394"/>
      <c r="B1687" s="1395"/>
      <c r="C1687" s="1552" t="s">
        <v>564</v>
      </c>
      <c r="D1687" s="1553" t="s">
        <v>565</v>
      </c>
      <c r="E1687" s="1079">
        <v>41689</v>
      </c>
      <c r="F1687" s="1079">
        <v>41426</v>
      </c>
      <c r="G1687" s="1079">
        <v>41425</v>
      </c>
      <c r="H1687" s="1080">
        <f t="shared" si="384"/>
        <v>0.99997586057065613</v>
      </c>
      <c r="I1687" s="1037"/>
    </row>
    <row r="1688" spans="1:9" ht="17.100000000000001" customHeight="1">
      <c r="A1688" s="1394"/>
      <c r="B1688" s="1395"/>
      <c r="C1688" s="1552" t="s">
        <v>146</v>
      </c>
      <c r="D1688" s="1553" t="s">
        <v>566</v>
      </c>
      <c r="E1688" s="1079">
        <v>95196</v>
      </c>
      <c r="F1688" s="1079">
        <v>99904</v>
      </c>
      <c r="G1688" s="1079">
        <v>99410</v>
      </c>
      <c r="H1688" s="1080">
        <f t="shared" si="384"/>
        <v>0.9950552530429212</v>
      </c>
      <c r="I1688" s="1037"/>
    </row>
    <row r="1689" spans="1:9" ht="17.100000000000001" customHeight="1">
      <c r="A1689" s="1394"/>
      <c r="B1689" s="1395"/>
      <c r="C1689" s="1552" t="s">
        <v>147</v>
      </c>
      <c r="D1689" s="1553" t="s">
        <v>567</v>
      </c>
      <c r="E1689" s="1079">
        <v>13569</v>
      </c>
      <c r="F1689" s="1079">
        <v>9274</v>
      </c>
      <c r="G1689" s="1079">
        <v>6886</v>
      </c>
      <c r="H1689" s="1080">
        <f t="shared" si="384"/>
        <v>0.74250593055855074</v>
      </c>
      <c r="I1689" s="1037"/>
    </row>
    <row r="1690" spans="1:9" ht="17.100000000000001" customHeight="1">
      <c r="A1690" s="1394"/>
      <c r="B1690" s="1395"/>
      <c r="C1690" s="1098"/>
      <c r="D1690" s="1098"/>
      <c r="E1690" s="1440"/>
      <c r="F1690" s="1440"/>
      <c r="G1690" s="1440"/>
      <c r="H1690" s="1441"/>
      <c r="I1690" s="1037"/>
    </row>
    <row r="1691" spans="1:9" ht="17.100000000000001" customHeight="1">
      <c r="A1691" s="1394"/>
      <c r="B1691" s="1395"/>
      <c r="C1691" s="2175" t="s">
        <v>570</v>
      </c>
      <c r="D1691" s="2175"/>
      <c r="E1691" s="1079">
        <f t="shared" ref="E1691:G1691" si="392">SUM(E1692:E1698)</f>
        <v>123391</v>
      </c>
      <c r="F1691" s="1079">
        <f t="shared" si="392"/>
        <v>125673</v>
      </c>
      <c r="G1691" s="1079">
        <f t="shared" si="392"/>
        <v>123705</v>
      </c>
      <c r="H1691" s="1080">
        <f t="shared" si="384"/>
        <v>0.98434031176147618</v>
      </c>
      <c r="I1691" s="1037"/>
    </row>
    <row r="1692" spans="1:9" ht="17.100000000000001" customHeight="1">
      <c r="A1692" s="1394"/>
      <c r="B1692" s="1395"/>
      <c r="C1692" s="1552" t="s">
        <v>143</v>
      </c>
      <c r="D1692" s="1553" t="s">
        <v>573</v>
      </c>
      <c r="E1692" s="1079">
        <v>51287</v>
      </c>
      <c r="F1692" s="1079">
        <v>51287</v>
      </c>
      <c r="G1692" s="1079">
        <v>51287</v>
      </c>
      <c r="H1692" s="1080">
        <f t="shared" si="384"/>
        <v>1</v>
      </c>
      <c r="I1692" s="1037"/>
    </row>
    <row r="1693" spans="1:9" ht="17.100000000000001" customHeight="1">
      <c r="A1693" s="1394"/>
      <c r="B1693" s="1395"/>
      <c r="C1693" s="1552" t="s">
        <v>576</v>
      </c>
      <c r="D1693" s="1553" t="s">
        <v>577</v>
      </c>
      <c r="E1693" s="1079">
        <v>39526</v>
      </c>
      <c r="F1693" s="1079">
        <v>39789</v>
      </c>
      <c r="G1693" s="1079">
        <v>39789</v>
      </c>
      <c r="H1693" s="1080">
        <f t="shared" si="384"/>
        <v>1</v>
      </c>
      <c r="I1693" s="1037"/>
    </row>
    <row r="1694" spans="1:9" ht="17.100000000000001" customHeight="1">
      <c r="A1694" s="1394"/>
      <c r="B1694" s="1395"/>
      <c r="C1694" s="1552" t="s">
        <v>579</v>
      </c>
      <c r="D1694" s="1553" t="s">
        <v>580</v>
      </c>
      <c r="E1694" s="1079">
        <v>1576</v>
      </c>
      <c r="F1694" s="1079">
        <v>1576</v>
      </c>
      <c r="G1694" s="1079">
        <v>684</v>
      </c>
      <c r="H1694" s="1080">
        <f t="shared" si="384"/>
        <v>0.43401015228426398</v>
      </c>
      <c r="I1694" s="1037"/>
    </row>
    <row r="1695" spans="1:9" ht="17.100000000000001" customHeight="1">
      <c r="A1695" s="1394"/>
      <c r="B1695" s="1395"/>
      <c r="C1695" s="1552" t="s">
        <v>25</v>
      </c>
      <c r="D1695" s="1553" t="s">
        <v>581</v>
      </c>
      <c r="E1695" s="1079">
        <v>3294</v>
      </c>
      <c r="F1695" s="1079">
        <v>5811</v>
      </c>
      <c r="G1695" s="1079">
        <v>4736</v>
      </c>
      <c r="H1695" s="1080">
        <f t="shared" si="384"/>
        <v>0.81500602305971437</v>
      </c>
      <c r="I1695" s="1037"/>
    </row>
    <row r="1696" spans="1:9" ht="16.5" customHeight="1">
      <c r="A1696" s="1394"/>
      <c r="B1696" s="2173"/>
      <c r="C1696" s="1552" t="s">
        <v>582</v>
      </c>
      <c r="D1696" s="1553" t="s">
        <v>727</v>
      </c>
      <c r="E1696" s="1079">
        <v>620</v>
      </c>
      <c r="F1696" s="1079">
        <v>620</v>
      </c>
      <c r="G1696" s="1079">
        <v>620</v>
      </c>
      <c r="H1696" s="1080">
        <f t="shared" si="384"/>
        <v>1</v>
      </c>
      <c r="I1696" s="1037"/>
    </row>
    <row r="1697" spans="1:9" ht="17.100000000000001" customHeight="1">
      <c r="A1697" s="1394"/>
      <c r="B1697" s="2173"/>
      <c r="C1697" s="1545" t="s">
        <v>591</v>
      </c>
      <c r="D1697" s="1546" t="s">
        <v>592</v>
      </c>
      <c r="E1697" s="1079">
        <v>25494</v>
      </c>
      <c r="F1697" s="1079">
        <v>24996</v>
      </c>
      <c r="G1697" s="1079">
        <v>24995</v>
      </c>
      <c r="H1697" s="1080">
        <f t="shared" si="384"/>
        <v>0.9999599935989758</v>
      </c>
      <c r="I1697" s="1037"/>
    </row>
    <row r="1698" spans="1:9" ht="17.100000000000001" customHeight="1">
      <c r="A1698" s="1394"/>
      <c r="B1698" s="2173"/>
      <c r="C1698" s="1629" t="s">
        <v>597</v>
      </c>
      <c r="D1698" s="1567" t="s">
        <v>930</v>
      </c>
      <c r="E1698" s="1079">
        <v>1594</v>
      </c>
      <c r="F1698" s="1079">
        <v>1594</v>
      </c>
      <c r="G1698" s="1079">
        <v>1594</v>
      </c>
      <c r="H1698" s="1080">
        <f t="shared" si="384"/>
        <v>1</v>
      </c>
      <c r="I1698" s="1037"/>
    </row>
    <row r="1699" spans="1:9" ht="17.100000000000001" customHeight="1">
      <c r="A1699" s="1394"/>
      <c r="B1699" s="2173"/>
      <c r="C1699" s="1571"/>
      <c r="D1699" s="1572"/>
      <c r="E1699" s="1231"/>
      <c r="F1699" s="1231"/>
      <c r="G1699" s="1231"/>
      <c r="H1699" s="1232"/>
      <c r="I1699" s="1037"/>
    </row>
    <row r="1700" spans="1:9" ht="17.100000000000001" customHeight="1">
      <c r="A1700" s="1394"/>
      <c r="B1700" s="2173"/>
      <c r="C1700" s="2171" t="s">
        <v>602</v>
      </c>
      <c r="D1700" s="2171"/>
      <c r="E1700" s="1103">
        <f t="shared" ref="E1700:G1700" si="393">E1701</f>
        <v>3558</v>
      </c>
      <c r="F1700" s="1103">
        <f t="shared" si="393"/>
        <v>3558</v>
      </c>
      <c r="G1700" s="1103">
        <f t="shared" si="393"/>
        <v>3558</v>
      </c>
      <c r="H1700" s="1104">
        <f t="shared" si="384"/>
        <v>1</v>
      </c>
      <c r="I1700" s="1037"/>
    </row>
    <row r="1701" spans="1:9" ht="17.100000000000001" customHeight="1" thickBot="1">
      <c r="A1701" s="1394"/>
      <c r="B1701" s="2173"/>
      <c r="C1701" s="1545" t="s">
        <v>603</v>
      </c>
      <c r="D1701" s="1546" t="s">
        <v>604</v>
      </c>
      <c r="E1701" s="1543">
        <v>3558</v>
      </c>
      <c r="F1701" s="1543">
        <v>3558</v>
      </c>
      <c r="G1701" s="1543">
        <v>3558</v>
      </c>
      <c r="H1701" s="1544">
        <f t="shared" si="384"/>
        <v>1</v>
      </c>
      <c r="I1701" s="1037"/>
    </row>
    <row r="1702" spans="1:9" ht="17.100000000000001" customHeight="1" thickBot="1">
      <c r="A1702" s="1394"/>
      <c r="B1702" s="1144" t="s">
        <v>931</v>
      </c>
      <c r="C1702" s="1145"/>
      <c r="D1702" s="1146" t="s">
        <v>932</v>
      </c>
      <c r="E1702" s="1147">
        <f t="shared" ref="E1702:G1703" si="394">E1703</f>
        <v>2115500</v>
      </c>
      <c r="F1702" s="1147">
        <f t="shared" si="394"/>
        <v>4011500</v>
      </c>
      <c r="G1702" s="1147">
        <f t="shared" si="394"/>
        <v>4011500</v>
      </c>
      <c r="H1702" s="1148">
        <f t="shared" si="384"/>
        <v>1</v>
      </c>
      <c r="I1702" s="1037"/>
    </row>
    <row r="1703" spans="1:9" ht="17.100000000000001" customHeight="1">
      <c r="A1703" s="1394"/>
      <c r="B1703" s="2154"/>
      <c r="C1703" s="2112" t="s">
        <v>560</v>
      </c>
      <c r="D1703" s="2112"/>
      <c r="E1703" s="1063">
        <f t="shared" si="394"/>
        <v>2115500</v>
      </c>
      <c r="F1703" s="1063">
        <f t="shared" si="394"/>
        <v>4011500</v>
      </c>
      <c r="G1703" s="1063">
        <f t="shared" si="394"/>
        <v>4011500</v>
      </c>
      <c r="H1703" s="1064">
        <f t="shared" si="384"/>
        <v>1</v>
      </c>
      <c r="I1703" s="1037"/>
    </row>
    <row r="1704" spans="1:9" ht="17.100000000000001" customHeight="1">
      <c r="A1704" s="1394"/>
      <c r="B1704" s="2154"/>
      <c r="C1704" s="2158" t="s">
        <v>616</v>
      </c>
      <c r="D1704" s="2158"/>
      <c r="E1704" s="1079">
        <f>SUM(E1705:E1727)</f>
        <v>2115500</v>
      </c>
      <c r="F1704" s="1079">
        <f t="shared" ref="F1704:G1704" si="395">SUM(F1705:F1727)</f>
        <v>4011500</v>
      </c>
      <c r="G1704" s="1079">
        <f t="shared" si="395"/>
        <v>4011500</v>
      </c>
      <c r="H1704" s="1080">
        <f t="shared" si="384"/>
        <v>1</v>
      </c>
      <c r="I1704" s="1037"/>
    </row>
    <row r="1705" spans="1:9" ht="16.5" customHeight="1">
      <c r="A1705" s="1394"/>
      <c r="B1705" s="2154"/>
      <c r="C1705" s="1552" t="s">
        <v>840</v>
      </c>
      <c r="D1705" s="1553" t="s">
        <v>839</v>
      </c>
      <c r="E1705" s="1079">
        <v>1657500</v>
      </c>
      <c r="F1705" s="1079">
        <v>3000500</v>
      </c>
      <c r="G1705" s="1079">
        <v>3000500</v>
      </c>
      <c r="H1705" s="1080">
        <f t="shared" si="384"/>
        <v>1</v>
      </c>
      <c r="I1705" s="1037"/>
    </row>
    <row r="1706" spans="1:9" ht="17.100000000000001" customHeight="1">
      <c r="A1706" s="1394"/>
      <c r="B1706" s="1395"/>
      <c r="C1706" s="1552" t="s">
        <v>841</v>
      </c>
      <c r="D1706" s="1553" t="s">
        <v>839</v>
      </c>
      <c r="E1706" s="1079">
        <v>292500</v>
      </c>
      <c r="F1706" s="1079">
        <v>529500</v>
      </c>
      <c r="G1706" s="1079">
        <v>529500</v>
      </c>
      <c r="H1706" s="1080">
        <f t="shared" si="384"/>
        <v>1</v>
      </c>
      <c r="I1706" s="1037"/>
    </row>
    <row r="1707" spans="1:9" ht="17.100000000000001" hidden="1" customHeight="1">
      <c r="A1707" s="1394"/>
      <c r="B1707" s="1395"/>
      <c r="C1707" s="1552" t="s">
        <v>668</v>
      </c>
      <c r="D1707" s="1553" t="s">
        <v>563</v>
      </c>
      <c r="E1707" s="1079">
        <v>0</v>
      </c>
      <c r="F1707" s="1079"/>
      <c r="G1707" s="1079"/>
      <c r="H1707" s="1080" t="e">
        <f t="shared" si="384"/>
        <v>#DIV/0!</v>
      </c>
      <c r="I1707" s="1037"/>
    </row>
    <row r="1708" spans="1:9" ht="17.100000000000001" customHeight="1">
      <c r="A1708" s="1394"/>
      <c r="B1708" s="1395"/>
      <c r="C1708" s="1552" t="s">
        <v>668</v>
      </c>
      <c r="D1708" s="1553" t="s">
        <v>563</v>
      </c>
      <c r="E1708" s="1079">
        <v>105656</v>
      </c>
      <c r="F1708" s="1079">
        <v>307392</v>
      </c>
      <c r="G1708" s="1079">
        <v>307392</v>
      </c>
      <c r="H1708" s="1080">
        <f t="shared" si="384"/>
        <v>1</v>
      </c>
      <c r="I1708" s="1037"/>
    </row>
    <row r="1709" spans="1:9" ht="17.100000000000001" customHeight="1">
      <c r="A1709" s="1394"/>
      <c r="B1709" s="1395"/>
      <c r="C1709" s="1552" t="s">
        <v>621</v>
      </c>
      <c r="D1709" s="1553" t="s">
        <v>563</v>
      </c>
      <c r="E1709" s="1079">
        <v>18646</v>
      </c>
      <c r="F1709" s="1079">
        <v>54247</v>
      </c>
      <c r="G1709" s="1079">
        <v>54247</v>
      </c>
      <c r="H1709" s="1080">
        <f t="shared" si="384"/>
        <v>1</v>
      </c>
      <c r="I1709" s="1037"/>
    </row>
    <row r="1710" spans="1:9" ht="17.100000000000001" hidden="1" customHeight="1">
      <c r="A1710" s="1394"/>
      <c r="B1710" s="1395"/>
      <c r="C1710" s="1552" t="s">
        <v>669</v>
      </c>
      <c r="D1710" s="1553" t="s">
        <v>566</v>
      </c>
      <c r="E1710" s="1079">
        <v>0</v>
      </c>
      <c r="F1710" s="1079"/>
      <c r="G1710" s="1079"/>
      <c r="H1710" s="1080" t="e">
        <f t="shared" si="384"/>
        <v>#DIV/0!</v>
      </c>
      <c r="I1710" s="1037"/>
    </row>
    <row r="1711" spans="1:9" ht="17.100000000000001" customHeight="1">
      <c r="A1711" s="1394"/>
      <c r="B1711" s="1395"/>
      <c r="C1711" s="1552" t="s">
        <v>669</v>
      </c>
      <c r="D1711" s="1553" t="s">
        <v>566</v>
      </c>
      <c r="E1711" s="1079">
        <v>18362</v>
      </c>
      <c r="F1711" s="1079">
        <v>53424</v>
      </c>
      <c r="G1711" s="1079">
        <v>53424</v>
      </c>
      <c r="H1711" s="1080">
        <f t="shared" si="384"/>
        <v>1</v>
      </c>
      <c r="I1711" s="1037"/>
    </row>
    <row r="1712" spans="1:9" ht="17.100000000000001" customHeight="1">
      <c r="A1712" s="1394"/>
      <c r="B1712" s="1395"/>
      <c r="C1712" s="1552" t="s">
        <v>625</v>
      </c>
      <c r="D1712" s="1553" t="s">
        <v>566</v>
      </c>
      <c r="E1712" s="1079">
        <v>3241</v>
      </c>
      <c r="F1712" s="1079">
        <v>9428</v>
      </c>
      <c r="G1712" s="1079">
        <v>9428</v>
      </c>
      <c r="H1712" s="1080">
        <f t="shared" si="384"/>
        <v>1</v>
      </c>
      <c r="I1712" s="1037"/>
    </row>
    <row r="1713" spans="1:9" ht="17.100000000000001" hidden="1" customHeight="1">
      <c r="A1713" s="1394"/>
      <c r="B1713" s="1395"/>
      <c r="C1713" s="1552" t="s">
        <v>670</v>
      </c>
      <c r="D1713" s="1553" t="s">
        <v>567</v>
      </c>
      <c r="E1713" s="1079">
        <v>0</v>
      </c>
      <c r="F1713" s="1079"/>
      <c r="G1713" s="1079"/>
      <c r="H1713" s="1080" t="e">
        <f t="shared" si="384"/>
        <v>#DIV/0!</v>
      </c>
      <c r="I1713" s="1037"/>
    </row>
    <row r="1714" spans="1:9" ht="17.100000000000001" customHeight="1">
      <c r="A1714" s="1394"/>
      <c r="B1714" s="1395"/>
      <c r="C1714" s="1552" t="s">
        <v>670</v>
      </c>
      <c r="D1714" s="1553" t="s">
        <v>567</v>
      </c>
      <c r="E1714" s="1079">
        <v>2589</v>
      </c>
      <c r="F1714" s="1079">
        <v>7531</v>
      </c>
      <c r="G1714" s="1079">
        <v>7531</v>
      </c>
      <c r="H1714" s="1080">
        <f t="shared" si="384"/>
        <v>1</v>
      </c>
      <c r="I1714" s="1037"/>
    </row>
    <row r="1715" spans="1:9" ht="17.100000000000001" customHeight="1">
      <c r="A1715" s="1394"/>
      <c r="B1715" s="1395"/>
      <c r="C1715" s="1552" t="s">
        <v>627</v>
      </c>
      <c r="D1715" s="1553" t="s">
        <v>567</v>
      </c>
      <c r="E1715" s="1079">
        <v>456</v>
      </c>
      <c r="F1715" s="1079">
        <v>1328</v>
      </c>
      <c r="G1715" s="1079">
        <v>1328</v>
      </c>
      <c r="H1715" s="1080">
        <f t="shared" si="384"/>
        <v>1</v>
      </c>
      <c r="I1715" s="1037"/>
    </row>
    <row r="1716" spans="1:9" ht="17.100000000000001" hidden="1" customHeight="1">
      <c r="A1716" s="1394"/>
      <c r="B1716" s="1395"/>
      <c r="C1716" s="1552" t="s">
        <v>738</v>
      </c>
      <c r="D1716" s="1553" t="s">
        <v>569</v>
      </c>
      <c r="E1716" s="1079">
        <v>0</v>
      </c>
      <c r="F1716" s="1079"/>
      <c r="G1716" s="1079"/>
      <c r="H1716" s="1080" t="e">
        <f t="shared" si="384"/>
        <v>#DIV/0!</v>
      </c>
      <c r="I1716" s="1037"/>
    </row>
    <row r="1717" spans="1:9" ht="17.100000000000001" hidden="1" customHeight="1">
      <c r="A1717" s="1394"/>
      <c r="B1717" s="1395"/>
      <c r="C1717" s="1552" t="s">
        <v>629</v>
      </c>
      <c r="D1717" s="1553" t="s">
        <v>569</v>
      </c>
      <c r="E1717" s="1079">
        <v>0</v>
      </c>
      <c r="F1717" s="1079"/>
      <c r="G1717" s="1079"/>
      <c r="H1717" s="1080" t="e">
        <f t="shared" si="384"/>
        <v>#DIV/0!</v>
      </c>
      <c r="I1717" s="1037"/>
    </row>
    <row r="1718" spans="1:9" ht="17.100000000000001" hidden="1" customHeight="1">
      <c r="A1718" s="1394"/>
      <c r="B1718" s="1395"/>
      <c r="C1718" s="1552" t="s">
        <v>671</v>
      </c>
      <c r="D1718" s="1553" t="s">
        <v>573</v>
      </c>
      <c r="E1718" s="1079">
        <v>0</v>
      </c>
      <c r="F1718" s="1079"/>
      <c r="G1718" s="1079"/>
      <c r="H1718" s="1080" t="e">
        <f t="shared" si="384"/>
        <v>#DIV/0!</v>
      </c>
      <c r="I1718" s="1037"/>
    </row>
    <row r="1719" spans="1:9" ht="17.100000000000001" customHeight="1">
      <c r="A1719" s="1394"/>
      <c r="B1719" s="1395"/>
      <c r="C1719" s="1552" t="s">
        <v>671</v>
      </c>
      <c r="D1719" s="1553" t="s">
        <v>573</v>
      </c>
      <c r="E1719" s="1079">
        <v>8441</v>
      </c>
      <c r="F1719" s="1079">
        <v>24557</v>
      </c>
      <c r="G1719" s="1079">
        <v>24557</v>
      </c>
      <c r="H1719" s="1080">
        <f t="shared" si="384"/>
        <v>1</v>
      </c>
      <c r="I1719" s="1037"/>
    </row>
    <row r="1720" spans="1:9" ht="17.100000000000001" customHeight="1">
      <c r="A1720" s="1394"/>
      <c r="B1720" s="1395"/>
      <c r="C1720" s="1552" t="s">
        <v>634</v>
      </c>
      <c r="D1720" s="1553" t="s">
        <v>573</v>
      </c>
      <c r="E1720" s="1079">
        <v>1489</v>
      </c>
      <c r="F1720" s="1079">
        <v>4333</v>
      </c>
      <c r="G1720" s="1079">
        <v>4333</v>
      </c>
      <c r="H1720" s="1080">
        <f t="shared" si="384"/>
        <v>1</v>
      </c>
      <c r="I1720" s="1037"/>
    </row>
    <row r="1721" spans="1:9" ht="17.100000000000001" customHeight="1">
      <c r="A1721" s="1394"/>
      <c r="B1721" s="1395"/>
      <c r="C1721" s="1552" t="s">
        <v>848</v>
      </c>
      <c r="D1721" s="1553" t="s">
        <v>577</v>
      </c>
      <c r="E1721" s="1079">
        <v>2814</v>
      </c>
      <c r="F1721" s="1079">
        <v>8186</v>
      </c>
      <c r="G1721" s="1079">
        <v>8186</v>
      </c>
      <c r="H1721" s="1080">
        <f t="shared" si="384"/>
        <v>1</v>
      </c>
      <c r="I1721" s="1037"/>
    </row>
    <row r="1722" spans="1:9" ht="17.100000000000001" customHeight="1">
      <c r="A1722" s="1394"/>
      <c r="B1722" s="1395"/>
      <c r="C1722" s="1552" t="s">
        <v>761</v>
      </c>
      <c r="D1722" s="1553" t="s">
        <v>577</v>
      </c>
      <c r="E1722" s="1079">
        <v>496</v>
      </c>
      <c r="F1722" s="1079">
        <v>1444</v>
      </c>
      <c r="G1722" s="1079">
        <v>1444</v>
      </c>
      <c r="H1722" s="1080">
        <f t="shared" si="384"/>
        <v>1</v>
      </c>
      <c r="I1722" s="1037"/>
    </row>
    <row r="1723" spans="1:9" ht="17.100000000000001" customHeight="1">
      <c r="A1723" s="1394"/>
      <c r="B1723" s="1395"/>
      <c r="C1723" s="1552" t="s">
        <v>672</v>
      </c>
      <c r="D1723" s="1553" t="s">
        <v>581</v>
      </c>
      <c r="E1723" s="1079">
        <v>1407</v>
      </c>
      <c r="F1723" s="1079">
        <v>4093</v>
      </c>
      <c r="G1723" s="1079">
        <v>4093</v>
      </c>
      <c r="H1723" s="1080">
        <f t="shared" si="384"/>
        <v>1</v>
      </c>
      <c r="I1723" s="1037"/>
    </row>
    <row r="1724" spans="1:9" ht="17.100000000000001" customHeight="1">
      <c r="A1724" s="1394"/>
      <c r="B1724" s="1395"/>
      <c r="C1724" s="1552" t="s">
        <v>638</v>
      </c>
      <c r="D1724" s="1553" t="s">
        <v>581</v>
      </c>
      <c r="E1724" s="1079">
        <v>248</v>
      </c>
      <c r="F1724" s="1079">
        <v>722</v>
      </c>
      <c r="G1724" s="1079">
        <v>722</v>
      </c>
      <c r="H1724" s="1080">
        <f t="shared" si="384"/>
        <v>1</v>
      </c>
      <c r="I1724" s="1037"/>
    </row>
    <row r="1725" spans="1:9" ht="17.100000000000001" customHeight="1">
      <c r="A1725" s="1394"/>
      <c r="B1725" s="1395"/>
      <c r="C1725" s="1552" t="s">
        <v>852</v>
      </c>
      <c r="D1725" s="1553" t="s">
        <v>727</v>
      </c>
      <c r="E1725" s="1079">
        <v>1406</v>
      </c>
      <c r="F1725" s="1079">
        <v>4092</v>
      </c>
      <c r="G1725" s="1079">
        <v>4092</v>
      </c>
      <c r="H1725" s="1080">
        <f t="shared" si="384"/>
        <v>1</v>
      </c>
      <c r="I1725" s="1037"/>
    </row>
    <row r="1726" spans="1:9" ht="17.100000000000001" customHeight="1" thickBot="1">
      <c r="A1726" s="1394"/>
      <c r="B1726" s="1395"/>
      <c r="C1726" s="1552" t="s">
        <v>786</v>
      </c>
      <c r="D1726" s="1553" t="s">
        <v>727</v>
      </c>
      <c r="E1726" s="1079">
        <v>249</v>
      </c>
      <c r="F1726" s="1079">
        <v>723</v>
      </c>
      <c r="G1726" s="1079">
        <v>723</v>
      </c>
      <c r="H1726" s="1080">
        <f t="shared" si="384"/>
        <v>1</v>
      </c>
      <c r="I1726" s="1037"/>
    </row>
    <row r="1727" spans="1:9" ht="17.100000000000001" hidden="1" customHeight="1">
      <c r="A1727" s="1394"/>
      <c r="B1727" s="1395"/>
      <c r="C1727" s="1552" t="s">
        <v>743</v>
      </c>
      <c r="D1727" s="1553" t="s">
        <v>584</v>
      </c>
      <c r="E1727" s="1543"/>
      <c r="F1727" s="1543"/>
      <c r="G1727" s="1543"/>
      <c r="H1727" s="1544" t="e">
        <f t="shared" si="384"/>
        <v>#DIV/0!</v>
      </c>
      <c r="I1727" s="1037"/>
    </row>
    <row r="1728" spans="1:9" ht="17.100000000000001" customHeight="1" thickBot="1">
      <c r="A1728" s="1394"/>
      <c r="B1728" s="1144" t="s">
        <v>201</v>
      </c>
      <c r="C1728" s="1145"/>
      <c r="D1728" s="1146" t="s">
        <v>933</v>
      </c>
      <c r="E1728" s="1219">
        <f>E1729</f>
        <v>0</v>
      </c>
      <c r="F1728" s="1219">
        <f t="shared" ref="F1728:G1730" si="396">F1729</f>
        <v>50000</v>
      </c>
      <c r="G1728" s="1219">
        <f t="shared" si="396"/>
        <v>50000</v>
      </c>
      <c r="H1728" s="1220">
        <f t="shared" ref="H1728:H1792" si="397">G1728/F1728</f>
        <v>1</v>
      </c>
      <c r="I1728" s="1037"/>
    </row>
    <row r="1729" spans="1:9" ht="17.100000000000001" customHeight="1">
      <c r="A1729" s="1394"/>
      <c r="B1729" s="2154"/>
      <c r="C1729" s="2112" t="s">
        <v>605</v>
      </c>
      <c r="D1729" s="2112"/>
      <c r="E1729" s="1568">
        <f>E1730</f>
        <v>0</v>
      </c>
      <c r="F1729" s="1568">
        <f t="shared" si="396"/>
        <v>50000</v>
      </c>
      <c r="G1729" s="1568">
        <f t="shared" si="396"/>
        <v>50000</v>
      </c>
      <c r="H1729" s="1528">
        <f t="shared" si="397"/>
        <v>1</v>
      </c>
      <c r="I1729" s="1037"/>
    </row>
    <row r="1730" spans="1:9" ht="17.100000000000001" customHeight="1">
      <c r="A1730" s="1394"/>
      <c r="B1730" s="2154"/>
      <c r="C1730" s="2161" t="s">
        <v>606</v>
      </c>
      <c r="D1730" s="2177"/>
      <c r="E1730" s="1079">
        <f>E1731</f>
        <v>0</v>
      </c>
      <c r="F1730" s="1079">
        <f t="shared" si="396"/>
        <v>50000</v>
      </c>
      <c r="G1730" s="1079">
        <f t="shared" si="396"/>
        <v>50000</v>
      </c>
      <c r="H1730" s="1080">
        <f t="shared" si="397"/>
        <v>1</v>
      </c>
      <c r="I1730" s="1037"/>
    </row>
    <row r="1731" spans="1:9" ht="41.25" customHeight="1" thickBot="1">
      <c r="A1731" s="1394"/>
      <c r="B1731" s="2154"/>
      <c r="C1731" s="1552" t="s">
        <v>22</v>
      </c>
      <c r="D1731" s="1553" t="s">
        <v>711</v>
      </c>
      <c r="E1731" s="1483">
        <v>0</v>
      </c>
      <c r="F1731" s="1483">
        <v>50000</v>
      </c>
      <c r="G1731" s="1483">
        <v>50000</v>
      </c>
      <c r="H1731" s="1485">
        <f t="shared" si="397"/>
        <v>1</v>
      </c>
      <c r="I1731" s="1037"/>
    </row>
    <row r="1732" spans="1:9" ht="13.5" thickBot="1">
      <c r="A1732" s="1051" t="s">
        <v>121</v>
      </c>
      <c r="B1732" s="1168"/>
      <c r="C1732" s="1169"/>
      <c r="D1732" s="1170" t="s">
        <v>934</v>
      </c>
      <c r="E1732" s="1171">
        <f>E1733+E1739+E1754+E1782</f>
        <v>4259696</v>
      </c>
      <c r="F1732" s="1171">
        <f t="shared" ref="F1732:G1732" si="398">F1733+F1739+F1754+F1782</f>
        <v>6204259</v>
      </c>
      <c r="G1732" s="1171">
        <f t="shared" si="398"/>
        <v>5299046</v>
      </c>
      <c r="H1732" s="1172">
        <f t="shared" si="397"/>
        <v>0.85409812839857269</v>
      </c>
      <c r="I1732" s="1037"/>
    </row>
    <row r="1733" spans="1:9" ht="13.5" thickBot="1">
      <c r="A1733" s="1394"/>
      <c r="B1733" s="1144" t="s">
        <v>935</v>
      </c>
      <c r="C1733" s="1145"/>
      <c r="D1733" s="1146" t="s">
        <v>936</v>
      </c>
      <c r="E1733" s="1147">
        <f t="shared" ref="E1733:G1733" si="399">E1734</f>
        <v>3500</v>
      </c>
      <c r="F1733" s="1147">
        <f t="shared" si="399"/>
        <v>3500</v>
      </c>
      <c r="G1733" s="1147">
        <f t="shared" si="399"/>
        <v>3361</v>
      </c>
      <c r="H1733" s="1148">
        <f t="shared" si="397"/>
        <v>0.9602857142857143</v>
      </c>
      <c r="I1733" s="1037"/>
    </row>
    <row r="1734" spans="1:9" ht="15.75" customHeight="1">
      <c r="A1734" s="1394"/>
      <c r="B1734" s="1395"/>
      <c r="C1734" s="2112" t="s">
        <v>560</v>
      </c>
      <c r="D1734" s="2112"/>
      <c r="E1734" s="1063">
        <f t="shared" ref="E1734:G1735" si="400">SUM(E1735)</f>
        <v>3500</v>
      </c>
      <c r="F1734" s="1063">
        <f t="shared" si="400"/>
        <v>3500</v>
      </c>
      <c r="G1734" s="1063">
        <f t="shared" si="400"/>
        <v>3361</v>
      </c>
      <c r="H1734" s="1064">
        <f t="shared" si="397"/>
        <v>0.9602857142857143</v>
      </c>
      <c r="I1734" s="1037"/>
    </row>
    <row r="1735" spans="1:9" ht="15.75" customHeight="1">
      <c r="A1735" s="1394"/>
      <c r="B1735" s="1395"/>
      <c r="C1735" s="2174" t="s">
        <v>561</v>
      </c>
      <c r="D1735" s="2174"/>
      <c r="E1735" s="1079">
        <f t="shared" si="400"/>
        <v>3500</v>
      </c>
      <c r="F1735" s="1079">
        <f t="shared" si="400"/>
        <v>3500</v>
      </c>
      <c r="G1735" s="1079">
        <f t="shared" si="400"/>
        <v>3361</v>
      </c>
      <c r="H1735" s="1080">
        <f t="shared" si="397"/>
        <v>0.9602857142857143</v>
      </c>
      <c r="I1735" s="1037"/>
    </row>
    <row r="1736" spans="1:9" ht="15.75" customHeight="1">
      <c r="A1736" s="1394"/>
      <c r="B1736" s="1395"/>
      <c r="C1736" s="2175" t="s">
        <v>570</v>
      </c>
      <c r="D1736" s="2175"/>
      <c r="E1736" s="1079">
        <f t="shared" ref="E1736:G1736" si="401">SUM(E1737:E1738)</f>
        <v>3500</v>
      </c>
      <c r="F1736" s="1079">
        <f t="shared" si="401"/>
        <v>3500</v>
      </c>
      <c r="G1736" s="1079">
        <f t="shared" si="401"/>
        <v>3361</v>
      </c>
      <c r="H1736" s="1080">
        <f t="shared" si="397"/>
        <v>0.9602857142857143</v>
      </c>
      <c r="I1736" s="1037"/>
    </row>
    <row r="1737" spans="1:9" ht="15.75" customHeight="1">
      <c r="A1737" s="1394"/>
      <c r="B1737" s="1395"/>
      <c r="C1737" s="1552" t="s">
        <v>143</v>
      </c>
      <c r="D1737" s="1553" t="s">
        <v>573</v>
      </c>
      <c r="E1737" s="1079">
        <v>1000</v>
      </c>
      <c r="F1737" s="1079">
        <v>1000</v>
      </c>
      <c r="G1737" s="1079">
        <v>861</v>
      </c>
      <c r="H1737" s="1080">
        <f t="shared" si="397"/>
        <v>0.86099999999999999</v>
      </c>
      <c r="I1737" s="1037"/>
    </row>
    <row r="1738" spans="1:9" ht="15.75" customHeight="1" thickBot="1">
      <c r="A1738" s="1394"/>
      <c r="B1738" s="1395"/>
      <c r="C1738" s="1611" t="s">
        <v>25</v>
      </c>
      <c r="D1738" s="1546" t="s">
        <v>581</v>
      </c>
      <c r="E1738" s="1543">
        <v>2500</v>
      </c>
      <c r="F1738" s="1543">
        <v>2500</v>
      </c>
      <c r="G1738" s="1543">
        <v>2500</v>
      </c>
      <c r="H1738" s="1544">
        <f t="shared" si="397"/>
        <v>1</v>
      </c>
      <c r="I1738" s="1037"/>
    </row>
    <row r="1739" spans="1:9" ht="15" customHeight="1" thickBot="1">
      <c r="A1739" s="1394"/>
      <c r="B1739" s="1144" t="s">
        <v>937</v>
      </c>
      <c r="C1739" s="1288"/>
      <c r="D1739" s="1146" t="s">
        <v>517</v>
      </c>
      <c r="E1739" s="1147">
        <f>E1740</f>
        <v>2298646</v>
      </c>
      <c r="F1739" s="1147">
        <f t="shared" ref="F1739:G1739" si="402">F1740</f>
        <v>2931910</v>
      </c>
      <c r="G1739" s="1147">
        <f t="shared" si="402"/>
        <v>2413937</v>
      </c>
      <c r="H1739" s="1148">
        <f t="shared" si="397"/>
        <v>0.82333257160008322</v>
      </c>
      <c r="I1739" s="1037"/>
    </row>
    <row r="1740" spans="1:9" ht="12.75" customHeight="1">
      <c r="A1740" s="1394"/>
      <c r="B1740" s="1395"/>
      <c r="C1740" s="2112" t="s">
        <v>560</v>
      </c>
      <c r="D1740" s="2112"/>
      <c r="E1740" s="1063">
        <f>SUM(E1744,E1741)</f>
        <v>2298646</v>
      </c>
      <c r="F1740" s="1063">
        <f t="shared" ref="F1740:G1740" si="403">SUM(F1744,F1741)</f>
        <v>2931910</v>
      </c>
      <c r="G1740" s="1063">
        <f t="shared" si="403"/>
        <v>2413937</v>
      </c>
      <c r="H1740" s="1064">
        <f t="shared" si="397"/>
        <v>0.82333257160008322</v>
      </c>
      <c r="I1740" s="1037"/>
    </row>
    <row r="1741" spans="1:9" ht="12.75" customHeight="1">
      <c r="A1741" s="1394"/>
      <c r="B1741" s="1395"/>
      <c r="C1741" s="2184" t="s">
        <v>938</v>
      </c>
      <c r="D1741" s="2185"/>
      <c r="E1741" s="1079">
        <f t="shared" ref="E1741:G1741" si="404">SUM(E1742)</f>
        <v>90000</v>
      </c>
      <c r="F1741" s="1079">
        <f t="shared" si="404"/>
        <v>90000</v>
      </c>
      <c r="G1741" s="1079">
        <f t="shared" si="404"/>
        <v>85000</v>
      </c>
      <c r="H1741" s="1080">
        <f t="shared" si="397"/>
        <v>0.94444444444444442</v>
      </c>
      <c r="I1741" s="1037"/>
    </row>
    <row r="1742" spans="1:9" ht="38.25">
      <c r="A1742" s="1394"/>
      <c r="B1742" s="1395"/>
      <c r="C1742" s="1552" t="s">
        <v>125</v>
      </c>
      <c r="D1742" s="1553" t="s">
        <v>656</v>
      </c>
      <c r="E1742" s="1639">
        <v>90000</v>
      </c>
      <c r="F1742" s="1639">
        <v>90000</v>
      </c>
      <c r="G1742" s="1639">
        <v>85000</v>
      </c>
      <c r="H1742" s="1640">
        <f t="shared" si="397"/>
        <v>0.94444444444444442</v>
      </c>
      <c r="I1742" s="1037"/>
    </row>
    <row r="1743" spans="1:9">
      <c r="A1743" s="1394"/>
      <c r="B1743" s="1395"/>
      <c r="C1743" s="1641"/>
      <c r="D1743" s="1642"/>
      <c r="E1743" s="1643"/>
      <c r="F1743" s="1643"/>
      <c r="G1743" s="1643"/>
      <c r="H1743" s="1644"/>
      <c r="I1743" s="1037"/>
    </row>
    <row r="1744" spans="1:9" ht="16.5" customHeight="1">
      <c r="A1744" s="1394"/>
      <c r="B1744" s="1395"/>
      <c r="C1744" s="2186" t="s">
        <v>616</v>
      </c>
      <c r="D1744" s="2186"/>
      <c r="E1744" s="1483">
        <f>SUM(E1745:E1753)</f>
        <v>2208646</v>
      </c>
      <c r="F1744" s="1483">
        <f t="shared" ref="F1744:G1744" si="405">SUM(F1745:F1753)</f>
        <v>2841910</v>
      </c>
      <c r="G1744" s="1483">
        <f t="shared" si="405"/>
        <v>2328937</v>
      </c>
      <c r="H1744" s="1485">
        <f t="shared" si="397"/>
        <v>0.81949709878215704</v>
      </c>
      <c r="I1744" s="1037"/>
    </row>
    <row r="1745" spans="1:9" ht="51">
      <c r="A1745" s="1394"/>
      <c r="B1745" s="1395"/>
      <c r="C1745" s="1552" t="s">
        <v>456</v>
      </c>
      <c r="D1745" s="1143" t="s">
        <v>619</v>
      </c>
      <c r="E1745" s="1543">
        <v>1270121</v>
      </c>
      <c r="F1745" s="1543">
        <v>1371090</v>
      </c>
      <c r="G1745" s="1543">
        <v>990415</v>
      </c>
      <c r="H1745" s="1544">
        <f t="shared" si="397"/>
        <v>0.72235593578831436</v>
      </c>
      <c r="I1745" s="1037"/>
    </row>
    <row r="1746" spans="1:9" ht="15.75" customHeight="1">
      <c r="A1746" s="1394"/>
      <c r="B1746" s="1395"/>
      <c r="C1746" s="1552" t="s">
        <v>668</v>
      </c>
      <c r="D1746" s="1553" t="s">
        <v>563</v>
      </c>
      <c r="E1746" s="1543">
        <v>179758</v>
      </c>
      <c r="F1746" s="1543">
        <v>190780</v>
      </c>
      <c r="G1746" s="1543">
        <v>175642</v>
      </c>
      <c r="H1746" s="1544">
        <f t="shared" si="397"/>
        <v>0.92065205996435684</v>
      </c>
      <c r="I1746" s="1037"/>
    </row>
    <row r="1747" spans="1:9" ht="15.75" customHeight="1">
      <c r="A1747" s="1394"/>
      <c r="B1747" s="1395"/>
      <c r="C1747" s="1552" t="s">
        <v>621</v>
      </c>
      <c r="D1747" s="1553" t="s">
        <v>563</v>
      </c>
      <c r="E1747" s="1543">
        <v>23317</v>
      </c>
      <c r="F1747" s="1543">
        <v>24938</v>
      </c>
      <c r="G1747" s="1543">
        <v>23172</v>
      </c>
      <c r="H1747" s="1544">
        <f t="shared" si="397"/>
        <v>0.92918437725559389</v>
      </c>
      <c r="I1747" s="1037"/>
    </row>
    <row r="1748" spans="1:9" ht="15.75" customHeight="1">
      <c r="A1748" s="1394"/>
      <c r="B1748" s="1395"/>
      <c r="C1748" s="1552" t="s">
        <v>669</v>
      </c>
      <c r="D1748" s="1553" t="s">
        <v>566</v>
      </c>
      <c r="E1748" s="1543">
        <v>30434</v>
      </c>
      <c r="F1748" s="1543">
        <v>33384</v>
      </c>
      <c r="G1748" s="1543">
        <v>28920</v>
      </c>
      <c r="H1748" s="1544">
        <f t="shared" si="397"/>
        <v>0.86628324946081958</v>
      </c>
      <c r="I1748" s="1037"/>
    </row>
    <row r="1749" spans="1:9" ht="15.75" customHeight="1">
      <c r="A1749" s="1394"/>
      <c r="B1749" s="1395"/>
      <c r="C1749" s="1552" t="s">
        <v>625</v>
      </c>
      <c r="D1749" s="1553" t="s">
        <v>566</v>
      </c>
      <c r="E1749" s="1543">
        <v>3948</v>
      </c>
      <c r="F1749" s="1543">
        <v>4237</v>
      </c>
      <c r="G1749" s="1543">
        <v>3851</v>
      </c>
      <c r="H1749" s="1544">
        <f t="shared" si="397"/>
        <v>0.90889780505074347</v>
      </c>
      <c r="I1749" s="1037"/>
    </row>
    <row r="1750" spans="1:9" ht="15.75" customHeight="1">
      <c r="A1750" s="1394"/>
      <c r="B1750" s="1395"/>
      <c r="C1750" s="1552" t="s">
        <v>670</v>
      </c>
      <c r="D1750" s="1553" t="s">
        <v>567</v>
      </c>
      <c r="E1750" s="1543">
        <v>4405</v>
      </c>
      <c r="F1750" s="1543">
        <v>6057</v>
      </c>
      <c r="G1750" s="1543">
        <v>2521</v>
      </c>
      <c r="H1750" s="1544">
        <f t="shared" si="397"/>
        <v>0.41621264652468221</v>
      </c>
      <c r="I1750" s="1037"/>
    </row>
    <row r="1751" spans="1:9" ht="15.75" customHeight="1">
      <c r="A1751" s="1394"/>
      <c r="B1751" s="1395"/>
      <c r="C1751" s="1552" t="s">
        <v>627</v>
      </c>
      <c r="D1751" s="1553" t="s">
        <v>567</v>
      </c>
      <c r="E1751" s="1543">
        <v>571</v>
      </c>
      <c r="F1751" s="1543">
        <v>612</v>
      </c>
      <c r="G1751" s="1543">
        <v>491</v>
      </c>
      <c r="H1751" s="1544">
        <f t="shared" si="397"/>
        <v>0.80228758169934644</v>
      </c>
      <c r="I1751" s="1037"/>
    </row>
    <row r="1752" spans="1:9" ht="15.75" customHeight="1">
      <c r="A1752" s="1394"/>
      <c r="B1752" s="1395"/>
      <c r="C1752" s="1552" t="s">
        <v>672</v>
      </c>
      <c r="D1752" s="1553" t="s">
        <v>581</v>
      </c>
      <c r="E1752" s="1543">
        <v>409754</v>
      </c>
      <c r="F1752" s="1543">
        <v>924026</v>
      </c>
      <c r="G1752" s="1543">
        <v>817346</v>
      </c>
      <c r="H1752" s="1544">
        <f t="shared" si="397"/>
        <v>0.88454870317501888</v>
      </c>
      <c r="I1752" s="1037"/>
    </row>
    <row r="1753" spans="1:9" ht="15.75" customHeight="1" thickBot="1">
      <c r="A1753" s="1394"/>
      <c r="B1753" s="1395"/>
      <c r="C1753" s="1545" t="s">
        <v>638</v>
      </c>
      <c r="D1753" s="1546" t="s">
        <v>581</v>
      </c>
      <c r="E1753" s="1543">
        <v>286338</v>
      </c>
      <c r="F1753" s="1543">
        <v>286786</v>
      </c>
      <c r="G1753" s="1543">
        <v>286579</v>
      </c>
      <c r="H1753" s="1544">
        <f t="shared" si="397"/>
        <v>0.99927820744387796</v>
      </c>
      <c r="I1753" s="1037"/>
    </row>
    <row r="1754" spans="1:9" ht="15.75" customHeight="1" thickBot="1">
      <c r="A1754" s="1394"/>
      <c r="B1754" s="1144" t="s">
        <v>939</v>
      </c>
      <c r="C1754" s="1145"/>
      <c r="D1754" s="1146" t="s">
        <v>521</v>
      </c>
      <c r="E1754" s="1147">
        <f t="shared" ref="E1754:G1754" si="406">E1755</f>
        <v>750000</v>
      </c>
      <c r="F1754" s="1147">
        <f t="shared" si="406"/>
        <v>1400925</v>
      </c>
      <c r="G1754" s="1147">
        <f t="shared" si="406"/>
        <v>1400013</v>
      </c>
      <c r="H1754" s="1148">
        <f t="shared" si="397"/>
        <v>0.99934900155254569</v>
      </c>
      <c r="I1754" s="1037"/>
    </row>
    <row r="1755" spans="1:9" ht="15.75" customHeight="1">
      <c r="A1755" s="1394"/>
      <c r="B1755" s="1395"/>
      <c r="C1755" s="2112" t="s">
        <v>560</v>
      </c>
      <c r="D1755" s="2112"/>
      <c r="E1755" s="1063">
        <f>E1756+E1780</f>
        <v>750000</v>
      </c>
      <c r="F1755" s="1063">
        <f t="shared" ref="F1755:G1755" si="407">F1756+F1780</f>
        <v>1400925</v>
      </c>
      <c r="G1755" s="1063">
        <f t="shared" si="407"/>
        <v>1400013</v>
      </c>
      <c r="H1755" s="1064">
        <f t="shared" si="397"/>
        <v>0.99934900155254569</v>
      </c>
      <c r="I1755" s="1037"/>
    </row>
    <row r="1756" spans="1:9" ht="15.75" customHeight="1">
      <c r="A1756" s="1394"/>
      <c r="B1756" s="1395"/>
      <c r="C1756" s="2174" t="s">
        <v>561</v>
      </c>
      <c r="D1756" s="2174"/>
      <c r="E1756" s="1079">
        <f t="shared" ref="E1756:G1756" si="408">E1757+E1763</f>
        <v>748000</v>
      </c>
      <c r="F1756" s="1079">
        <f t="shared" si="408"/>
        <v>1400244</v>
      </c>
      <c r="G1756" s="1079">
        <f t="shared" si="408"/>
        <v>1399333</v>
      </c>
      <c r="H1756" s="1080">
        <f t="shared" si="397"/>
        <v>0.99934939910472742</v>
      </c>
      <c r="I1756" s="1037"/>
    </row>
    <row r="1757" spans="1:9" ht="15.75" customHeight="1">
      <c r="A1757" s="1394"/>
      <c r="B1757" s="1395"/>
      <c r="C1757" s="2143" t="s">
        <v>562</v>
      </c>
      <c r="D1757" s="2143"/>
      <c r="E1757" s="1115">
        <f t="shared" ref="E1757:G1757" si="409">SUM(E1758:E1761)</f>
        <v>638887</v>
      </c>
      <c r="F1757" s="1115">
        <f t="shared" si="409"/>
        <v>1236549</v>
      </c>
      <c r="G1757" s="1115">
        <f t="shared" si="409"/>
        <v>1236078</v>
      </c>
      <c r="H1757" s="1116">
        <f t="shared" si="397"/>
        <v>0.99961910122445607</v>
      </c>
      <c r="I1757" s="1037"/>
    </row>
    <row r="1758" spans="1:9" ht="15.75" customHeight="1">
      <c r="A1758" s="1394"/>
      <c r="B1758" s="1395"/>
      <c r="C1758" s="1552" t="s">
        <v>145</v>
      </c>
      <c r="D1758" s="1553" t="s">
        <v>563</v>
      </c>
      <c r="E1758" s="1079">
        <v>484355</v>
      </c>
      <c r="F1758" s="1079">
        <v>997580</v>
      </c>
      <c r="G1758" s="1079">
        <v>997492</v>
      </c>
      <c r="H1758" s="1080">
        <f t="shared" si="397"/>
        <v>0.99991178652338664</v>
      </c>
      <c r="I1758" s="1037"/>
    </row>
    <row r="1759" spans="1:9" ht="15.75" customHeight="1">
      <c r="A1759" s="1394"/>
      <c r="B1759" s="1395"/>
      <c r="C1759" s="1552" t="s">
        <v>564</v>
      </c>
      <c r="D1759" s="1553" t="s">
        <v>565</v>
      </c>
      <c r="E1759" s="1079">
        <v>56480</v>
      </c>
      <c r="F1759" s="1079">
        <v>52829</v>
      </c>
      <c r="G1759" s="1079">
        <v>52829</v>
      </c>
      <c r="H1759" s="1080">
        <f t="shared" si="397"/>
        <v>1</v>
      </c>
      <c r="I1759" s="1037"/>
    </row>
    <row r="1760" spans="1:9" ht="15.75" customHeight="1">
      <c r="A1760" s="1394"/>
      <c r="B1760" s="1395"/>
      <c r="C1760" s="1552" t="s">
        <v>146</v>
      </c>
      <c r="D1760" s="1553" t="s">
        <v>566</v>
      </c>
      <c r="E1760" s="1079">
        <v>85656</v>
      </c>
      <c r="F1760" s="1079">
        <v>166821</v>
      </c>
      <c r="G1760" s="1079">
        <v>166696</v>
      </c>
      <c r="H1760" s="1080">
        <f t="shared" si="397"/>
        <v>0.99925069385748799</v>
      </c>
      <c r="I1760" s="1037"/>
    </row>
    <row r="1761" spans="1:9" ht="15.75" customHeight="1">
      <c r="A1761" s="1394"/>
      <c r="B1761" s="1395"/>
      <c r="C1761" s="1552" t="s">
        <v>147</v>
      </c>
      <c r="D1761" s="1553" t="s">
        <v>567</v>
      </c>
      <c r="E1761" s="1079">
        <v>12396</v>
      </c>
      <c r="F1761" s="1079">
        <v>19319</v>
      </c>
      <c r="G1761" s="1079">
        <v>19061</v>
      </c>
      <c r="H1761" s="1080">
        <f t="shared" si="397"/>
        <v>0.98664527149438375</v>
      </c>
      <c r="I1761" s="1037"/>
    </row>
    <row r="1762" spans="1:9" ht="15.75" customHeight="1">
      <c r="A1762" s="1394"/>
      <c r="B1762" s="1395"/>
      <c r="C1762" s="1098"/>
      <c r="D1762" s="1098"/>
      <c r="E1762" s="1440"/>
      <c r="F1762" s="1440"/>
      <c r="G1762" s="1440"/>
      <c r="H1762" s="1441"/>
      <c r="I1762" s="1037"/>
    </row>
    <row r="1763" spans="1:9" ht="15.75" customHeight="1">
      <c r="A1763" s="1394"/>
      <c r="B1763" s="1395"/>
      <c r="C1763" s="2175" t="s">
        <v>570</v>
      </c>
      <c r="D1763" s="2175"/>
      <c r="E1763" s="1115">
        <f>SUM(E1764:E1778)</f>
        <v>109113</v>
      </c>
      <c r="F1763" s="1115">
        <f t="shared" ref="F1763:G1763" si="410">SUM(F1764:F1778)</f>
        <v>163695</v>
      </c>
      <c r="G1763" s="1115">
        <f t="shared" si="410"/>
        <v>163255</v>
      </c>
      <c r="H1763" s="1116">
        <f t="shared" si="397"/>
        <v>0.99731207428449253</v>
      </c>
      <c r="I1763" s="1037"/>
    </row>
    <row r="1764" spans="1:9" ht="15.75" customHeight="1">
      <c r="A1764" s="1394"/>
      <c r="B1764" s="1395"/>
      <c r="C1764" s="1552" t="s">
        <v>571</v>
      </c>
      <c r="D1764" s="1553" t="s">
        <v>572</v>
      </c>
      <c r="E1764" s="1079">
        <v>700</v>
      </c>
      <c r="F1764" s="1079">
        <v>183</v>
      </c>
      <c r="G1764" s="1079">
        <v>149</v>
      </c>
      <c r="H1764" s="1080">
        <f t="shared" si="397"/>
        <v>0.81420765027322406</v>
      </c>
      <c r="I1764" s="1037"/>
    </row>
    <row r="1765" spans="1:9" ht="15.75" customHeight="1">
      <c r="A1765" s="1394"/>
      <c r="B1765" s="1395"/>
      <c r="C1765" s="1552" t="s">
        <v>143</v>
      </c>
      <c r="D1765" s="1553" t="s">
        <v>573</v>
      </c>
      <c r="E1765" s="1079">
        <v>10540</v>
      </c>
      <c r="F1765" s="1079">
        <v>42612</v>
      </c>
      <c r="G1765" s="1079">
        <v>42610</v>
      </c>
      <c r="H1765" s="1080">
        <f t="shared" si="397"/>
        <v>0.99995306486435742</v>
      </c>
      <c r="I1765" s="1037"/>
    </row>
    <row r="1766" spans="1:9" ht="15.75" customHeight="1">
      <c r="A1766" s="1394"/>
      <c r="B1766" s="1395"/>
      <c r="C1766" s="1552" t="s">
        <v>574</v>
      </c>
      <c r="D1766" s="1553" t="s">
        <v>575</v>
      </c>
      <c r="E1766" s="1079">
        <v>1250</v>
      </c>
      <c r="F1766" s="1079">
        <v>2641</v>
      </c>
      <c r="G1766" s="1079">
        <v>2641</v>
      </c>
      <c r="H1766" s="1080">
        <f t="shared" si="397"/>
        <v>1</v>
      </c>
      <c r="I1766" s="1037"/>
    </row>
    <row r="1767" spans="1:9" ht="15.75" customHeight="1">
      <c r="A1767" s="1394"/>
      <c r="B1767" s="1395"/>
      <c r="C1767" s="1552" t="s">
        <v>724</v>
      </c>
      <c r="D1767" s="1553" t="s">
        <v>725</v>
      </c>
      <c r="E1767" s="1079">
        <v>0</v>
      </c>
      <c r="F1767" s="1079">
        <v>2416</v>
      </c>
      <c r="G1767" s="1079">
        <v>2416</v>
      </c>
      <c r="H1767" s="1080">
        <f t="shared" si="397"/>
        <v>1</v>
      </c>
      <c r="I1767" s="1037"/>
    </row>
    <row r="1768" spans="1:9" ht="15.75" customHeight="1">
      <c r="A1768" s="1394"/>
      <c r="B1768" s="1395"/>
      <c r="C1768" s="1552" t="s">
        <v>576</v>
      </c>
      <c r="D1768" s="1553" t="s">
        <v>577</v>
      </c>
      <c r="E1768" s="1079">
        <v>6100</v>
      </c>
      <c r="F1768" s="1079">
        <v>12533</v>
      </c>
      <c r="G1768" s="1079">
        <v>12533</v>
      </c>
      <c r="H1768" s="1080">
        <f t="shared" si="397"/>
        <v>1</v>
      </c>
      <c r="I1768" s="1037"/>
    </row>
    <row r="1769" spans="1:9" ht="15.75" customHeight="1">
      <c r="A1769" s="1394"/>
      <c r="B1769" s="1395"/>
      <c r="C1769" s="1552" t="s">
        <v>24</v>
      </c>
      <c r="D1769" s="1553" t="s">
        <v>578</v>
      </c>
      <c r="E1769" s="1079">
        <v>806</v>
      </c>
      <c r="F1769" s="1079">
        <v>2869</v>
      </c>
      <c r="G1769" s="1079">
        <v>2858</v>
      </c>
      <c r="H1769" s="1080">
        <f t="shared" si="397"/>
        <v>0.99616591146741029</v>
      </c>
      <c r="I1769" s="1037"/>
    </row>
    <row r="1770" spans="1:9" ht="15.75" customHeight="1">
      <c r="A1770" s="1394"/>
      <c r="B1770" s="1395"/>
      <c r="C1770" s="1552" t="s">
        <v>579</v>
      </c>
      <c r="D1770" s="1553" t="s">
        <v>580</v>
      </c>
      <c r="E1770" s="1079">
        <v>600</v>
      </c>
      <c r="F1770" s="1079">
        <v>859</v>
      </c>
      <c r="G1770" s="1079">
        <v>858</v>
      </c>
      <c r="H1770" s="1080">
        <f t="shared" si="397"/>
        <v>0.99883585564610011</v>
      </c>
      <c r="I1770" s="1037"/>
    </row>
    <row r="1771" spans="1:9" ht="15.75" customHeight="1">
      <c r="A1771" s="1394"/>
      <c r="B1771" s="1395"/>
      <c r="C1771" s="1552" t="s">
        <v>25</v>
      </c>
      <c r="D1771" s="1553" t="s">
        <v>581</v>
      </c>
      <c r="E1771" s="1079">
        <v>48000</v>
      </c>
      <c r="F1771" s="1079">
        <v>52608</v>
      </c>
      <c r="G1771" s="1079">
        <v>52608</v>
      </c>
      <c r="H1771" s="1080">
        <f t="shared" si="397"/>
        <v>1</v>
      </c>
      <c r="I1771" s="1037"/>
    </row>
    <row r="1772" spans="1:9" ht="15.75" customHeight="1">
      <c r="A1772" s="1394"/>
      <c r="B1772" s="2173"/>
      <c r="C1772" s="1552" t="s">
        <v>582</v>
      </c>
      <c r="D1772" s="1553" t="s">
        <v>727</v>
      </c>
      <c r="E1772" s="1079">
        <v>2850</v>
      </c>
      <c r="F1772" s="1079">
        <v>3394</v>
      </c>
      <c r="G1772" s="1079">
        <v>3366</v>
      </c>
      <c r="H1772" s="1080">
        <f t="shared" si="397"/>
        <v>0.99175014731879785</v>
      </c>
      <c r="I1772" s="1037"/>
    </row>
    <row r="1773" spans="1:9" ht="15.75" customHeight="1">
      <c r="A1773" s="1394"/>
      <c r="B1773" s="2173"/>
      <c r="C1773" s="1545" t="s">
        <v>587</v>
      </c>
      <c r="D1773" s="1546" t="s">
        <v>588</v>
      </c>
      <c r="E1773" s="1543">
        <v>7500</v>
      </c>
      <c r="F1773" s="1079">
        <v>5254</v>
      </c>
      <c r="G1773" s="1079">
        <v>4904</v>
      </c>
      <c r="H1773" s="1080">
        <f t="shared" si="397"/>
        <v>0.93338408831366582</v>
      </c>
      <c r="I1773" s="1037"/>
    </row>
    <row r="1774" spans="1:9" ht="15.75" customHeight="1">
      <c r="A1774" s="1394"/>
      <c r="B1774" s="2173"/>
      <c r="C1774" s="1593" t="s">
        <v>589</v>
      </c>
      <c r="D1774" s="1594" t="s">
        <v>590</v>
      </c>
      <c r="E1774" s="1079">
        <v>0</v>
      </c>
      <c r="F1774" s="1079">
        <v>2518</v>
      </c>
      <c r="G1774" s="1079">
        <v>2515</v>
      </c>
      <c r="H1774" s="1080">
        <f t="shared" si="397"/>
        <v>0.99880857823669578</v>
      </c>
      <c r="I1774" s="1037"/>
    </row>
    <row r="1775" spans="1:9" ht="15.75" customHeight="1">
      <c r="A1775" s="1394"/>
      <c r="B1775" s="2173"/>
      <c r="C1775" s="1645" t="s">
        <v>591</v>
      </c>
      <c r="D1775" s="1567" t="s">
        <v>592</v>
      </c>
      <c r="E1775" s="1079">
        <v>21939</v>
      </c>
      <c r="F1775" s="1079">
        <v>23496</v>
      </c>
      <c r="G1775" s="1079">
        <v>23485</v>
      </c>
      <c r="H1775" s="1080">
        <f t="shared" si="397"/>
        <v>0.99953183520599254</v>
      </c>
      <c r="I1775" s="1037"/>
    </row>
    <row r="1776" spans="1:9" ht="15.75" customHeight="1">
      <c r="A1776" s="1394"/>
      <c r="B1776" s="2173"/>
      <c r="C1776" s="1645" t="s">
        <v>593</v>
      </c>
      <c r="D1776" s="1567" t="s">
        <v>594</v>
      </c>
      <c r="E1776" s="1079">
        <v>1500</v>
      </c>
      <c r="F1776" s="1079">
        <v>1605</v>
      </c>
      <c r="G1776" s="1079">
        <v>1605</v>
      </c>
      <c r="H1776" s="1080">
        <f t="shared" si="397"/>
        <v>1</v>
      </c>
      <c r="I1776" s="1037"/>
    </row>
    <row r="1777" spans="1:9" ht="15.75" customHeight="1">
      <c r="A1777" s="1394"/>
      <c r="B1777" s="2173"/>
      <c r="C1777" s="1629" t="s">
        <v>597</v>
      </c>
      <c r="D1777" s="1567" t="s">
        <v>930</v>
      </c>
      <c r="E1777" s="1079">
        <v>4828</v>
      </c>
      <c r="F1777" s="1079">
        <v>4052</v>
      </c>
      <c r="G1777" s="1079">
        <v>4052</v>
      </c>
      <c r="H1777" s="1080">
        <f t="shared" si="397"/>
        <v>1</v>
      </c>
      <c r="I1777" s="1037"/>
    </row>
    <row r="1778" spans="1:9" ht="15.75" customHeight="1">
      <c r="A1778" s="1394"/>
      <c r="B1778" s="2173"/>
      <c r="C1778" s="1629" t="s">
        <v>148</v>
      </c>
      <c r="D1778" s="1567" t="s">
        <v>773</v>
      </c>
      <c r="E1778" s="1079">
        <v>2500</v>
      </c>
      <c r="F1778" s="1079">
        <v>6655</v>
      </c>
      <c r="G1778" s="1079">
        <v>6655</v>
      </c>
      <c r="H1778" s="1080">
        <f t="shared" si="397"/>
        <v>1</v>
      </c>
      <c r="I1778" s="1037"/>
    </row>
    <row r="1779" spans="1:9" ht="15.75" customHeight="1">
      <c r="A1779" s="1394"/>
      <c r="B1779" s="2173"/>
      <c r="C1779" s="1098"/>
      <c r="D1779" s="1098"/>
      <c r="E1779" s="1440"/>
      <c r="F1779" s="1440"/>
      <c r="G1779" s="1440"/>
      <c r="H1779" s="1441"/>
      <c r="I1779" s="1037"/>
    </row>
    <row r="1780" spans="1:9" ht="15.75" customHeight="1">
      <c r="A1780" s="1394"/>
      <c r="B1780" s="2173"/>
      <c r="C1780" s="2161" t="s">
        <v>602</v>
      </c>
      <c r="D1780" s="2161"/>
      <c r="E1780" s="1079">
        <f t="shared" ref="E1780:G1780" si="411">E1781</f>
        <v>2000</v>
      </c>
      <c r="F1780" s="1079">
        <f t="shared" si="411"/>
        <v>681</v>
      </c>
      <c r="G1780" s="1079">
        <f t="shared" si="411"/>
        <v>680</v>
      </c>
      <c r="H1780" s="1080">
        <f t="shared" si="397"/>
        <v>0.99853157121879588</v>
      </c>
      <c r="I1780" s="1037"/>
    </row>
    <row r="1781" spans="1:9" ht="15.75" customHeight="1" thickBot="1">
      <c r="A1781" s="1394"/>
      <c r="B1781" s="2173"/>
      <c r="C1781" s="1545" t="s">
        <v>603</v>
      </c>
      <c r="D1781" s="1546" t="s">
        <v>604</v>
      </c>
      <c r="E1781" s="1543">
        <v>2000</v>
      </c>
      <c r="F1781" s="1543">
        <v>681</v>
      </c>
      <c r="G1781" s="1543">
        <v>680</v>
      </c>
      <c r="H1781" s="1544">
        <f t="shared" si="397"/>
        <v>0.99853157121879588</v>
      </c>
      <c r="I1781" s="1037"/>
    </row>
    <row r="1782" spans="1:9" ht="15.75" customHeight="1" thickBot="1">
      <c r="A1782" s="1394"/>
      <c r="B1782" s="1144" t="s">
        <v>122</v>
      </c>
      <c r="C1782" s="1145"/>
      <c r="D1782" s="1146" t="s">
        <v>124</v>
      </c>
      <c r="E1782" s="1147">
        <f>E1783</f>
        <v>1207550</v>
      </c>
      <c r="F1782" s="1147">
        <f>F1783</f>
        <v>1867924</v>
      </c>
      <c r="G1782" s="1147">
        <f t="shared" ref="G1782" si="412">G1783</f>
        <v>1481735</v>
      </c>
      <c r="H1782" s="1148">
        <f t="shared" si="397"/>
        <v>0.79325229506125516</v>
      </c>
    </row>
    <row r="1783" spans="1:9" ht="15.75" customHeight="1">
      <c r="A1783" s="1394"/>
      <c r="B1783" s="2173"/>
      <c r="C1783" s="2112" t="s">
        <v>560</v>
      </c>
      <c r="D1783" s="2112"/>
      <c r="E1783" s="1063">
        <f>SUM(E1788,E1784)</f>
        <v>1207550</v>
      </c>
      <c r="F1783" s="1063">
        <f>SUM(F1788,F1784)</f>
        <v>1867924</v>
      </c>
      <c r="G1783" s="1063">
        <f t="shared" ref="G1783" si="413">SUM(G1788,G1784)</f>
        <v>1481735</v>
      </c>
      <c r="H1783" s="1064">
        <f t="shared" si="397"/>
        <v>0.79325229506125516</v>
      </c>
    </row>
    <row r="1784" spans="1:9" ht="15.75" customHeight="1">
      <c r="A1784" s="1394"/>
      <c r="B1784" s="2173"/>
      <c r="C1784" s="2174" t="s">
        <v>561</v>
      </c>
      <c r="D1784" s="2174"/>
      <c r="E1784" s="1079">
        <f t="shared" ref="E1784:G1784" si="414">E1785</f>
        <v>1000</v>
      </c>
      <c r="F1784" s="1079">
        <f t="shared" si="414"/>
        <v>1000</v>
      </c>
      <c r="G1784" s="1079">
        <f t="shared" si="414"/>
        <v>821</v>
      </c>
      <c r="H1784" s="1080">
        <f t="shared" si="397"/>
        <v>0.82099999999999995</v>
      </c>
    </row>
    <row r="1785" spans="1:9" ht="15.75" customHeight="1">
      <c r="A1785" s="1394"/>
      <c r="B1785" s="2173"/>
      <c r="C1785" s="2175" t="s">
        <v>570</v>
      </c>
      <c r="D1785" s="2175"/>
      <c r="E1785" s="1115">
        <f>SUM(E1786:E1786)</f>
        <v>1000</v>
      </c>
      <c r="F1785" s="1115">
        <f t="shared" ref="F1785:G1785" si="415">SUM(F1786:F1786)</f>
        <v>1000</v>
      </c>
      <c r="G1785" s="1115">
        <f t="shared" si="415"/>
        <v>821</v>
      </c>
      <c r="H1785" s="1116">
        <f t="shared" si="397"/>
        <v>0.82099999999999995</v>
      </c>
    </row>
    <row r="1786" spans="1:9" ht="15.75" customHeight="1">
      <c r="A1786" s="1394"/>
      <c r="B1786" s="2173"/>
      <c r="C1786" s="1552" t="s">
        <v>143</v>
      </c>
      <c r="D1786" s="1553" t="s">
        <v>573</v>
      </c>
      <c r="E1786" s="1079">
        <v>1000</v>
      </c>
      <c r="F1786" s="1079">
        <v>1000</v>
      </c>
      <c r="G1786" s="1079">
        <v>821</v>
      </c>
      <c r="H1786" s="1080">
        <f t="shared" si="397"/>
        <v>0.82099999999999995</v>
      </c>
    </row>
    <row r="1787" spans="1:9">
      <c r="A1787" s="1394"/>
      <c r="B1787" s="2173"/>
      <c r="C1787" s="2165"/>
      <c r="D1787" s="2166"/>
      <c r="E1787" s="1079"/>
      <c r="F1787" s="1079"/>
      <c r="G1787" s="1079"/>
      <c r="H1787" s="1080"/>
    </row>
    <row r="1788" spans="1:9" ht="16.5" customHeight="1">
      <c r="A1788" s="1394"/>
      <c r="B1788" s="2173"/>
      <c r="C1788" s="2184" t="s">
        <v>647</v>
      </c>
      <c r="D1788" s="2185"/>
      <c r="E1788" s="1079">
        <f>SUM(E1789:E1791)</f>
        <v>1206550</v>
      </c>
      <c r="F1788" s="1079">
        <f t="shared" ref="F1788:G1788" si="416">SUM(F1789:F1791)</f>
        <v>1866924</v>
      </c>
      <c r="G1788" s="1079">
        <f t="shared" si="416"/>
        <v>1480914</v>
      </c>
      <c r="H1788" s="1080">
        <f t="shared" si="397"/>
        <v>0.79323743226826593</v>
      </c>
    </row>
    <row r="1789" spans="1:9" ht="38.25">
      <c r="A1789" s="1394"/>
      <c r="B1789" s="2173"/>
      <c r="C1789" s="1545" t="s">
        <v>125</v>
      </c>
      <c r="D1789" s="1546" t="s">
        <v>656</v>
      </c>
      <c r="E1789" s="1543">
        <v>1206550</v>
      </c>
      <c r="F1789" s="1543">
        <v>1857839</v>
      </c>
      <c r="G1789" s="1543">
        <v>1471831</v>
      </c>
      <c r="H1789" s="1544">
        <f t="shared" si="397"/>
        <v>0.79222742121357126</v>
      </c>
    </row>
    <row r="1790" spans="1:9" ht="40.5" customHeight="1">
      <c r="A1790" s="1394"/>
      <c r="B1790" s="1395"/>
      <c r="C1790" s="1646" t="s">
        <v>160</v>
      </c>
      <c r="D1790" s="1647" t="s">
        <v>314</v>
      </c>
      <c r="E1790" s="1543">
        <v>0</v>
      </c>
      <c r="F1790" s="1648">
        <v>100</v>
      </c>
      <c r="G1790" s="1543">
        <v>99</v>
      </c>
      <c r="H1790" s="1544">
        <f t="shared" si="397"/>
        <v>0.99</v>
      </c>
    </row>
    <row r="1791" spans="1:9" ht="24.75" customHeight="1" thickBot="1">
      <c r="A1791" s="1394"/>
      <c r="B1791" s="1395"/>
      <c r="C1791" s="1646" t="s">
        <v>307</v>
      </c>
      <c r="D1791" s="1647" t="s">
        <v>475</v>
      </c>
      <c r="E1791" s="1649">
        <v>0</v>
      </c>
      <c r="F1791" s="1648">
        <v>8985</v>
      </c>
      <c r="G1791" s="1649">
        <v>8984</v>
      </c>
      <c r="H1791" s="1650">
        <f t="shared" si="397"/>
        <v>0.9998887033945465</v>
      </c>
    </row>
    <row r="1792" spans="1:9" ht="17.100000000000001" customHeight="1" thickBot="1">
      <c r="A1792" s="1651" t="s">
        <v>27</v>
      </c>
      <c r="B1792" s="1652"/>
      <c r="C1792" s="1653"/>
      <c r="D1792" s="1654" t="s">
        <v>940</v>
      </c>
      <c r="E1792" s="1655">
        <f>E1797+E1815+E1829+E1834+E1845+E1793+E1811+E1806</f>
        <v>811211</v>
      </c>
      <c r="F1792" s="1655">
        <f t="shared" ref="F1792:G1792" si="417">F1797+F1815+F1829+F1834+F1845+F1793+F1811+F1806</f>
        <v>1171105</v>
      </c>
      <c r="G1792" s="1655">
        <f t="shared" si="417"/>
        <v>1011797</v>
      </c>
      <c r="H1792" s="1656">
        <f t="shared" si="397"/>
        <v>0.86396779110327426</v>
      </c>
    </row>
    <row r="1793" spans="1:9" ht="17.100000000000001" customHeight="1" thickBot="1">
      <c r="A1793" s="1415"/>
      <c r="B1793" s="1144" t="s">
        <v>941</v>
      </c>
      <c r="C1793" s="1145"/>
      <c r="D1793" s="1146" t="s">
        <v>942</v>
      </c>
      <c r="E1793" s="1386">
        <f>E1794</f>
        <v>0</v>
      </c>
      <c r="F1793" s="1386">
        <f t="shared" ref="F1793:G1795" si="418">F1794</f>
        <v>10000</v>
      </c>
      <c r="G1793" s="1386">
        <f t="shared" si="418"/>
        <v>0</v>
      </c>
      <c r="H1793" s="1387">
        <f t="shared" ref="H1793:H1865" si="419">G1793/F1793</f>
        <v>0</v>
      </c>
    </row>
    <row r="1794" spans="1:9" ht="17.100000000000001" customHeight="1">
      <c r="A1794" s="1415"/>
      <c r="B1794" s="2181"/>
      <c r="C1794" s="2112" t="s">
        <v>560</v>
      </c>
      <c r="D1794" s="2112"/>
      <c r="E1794" s="1388">
        <f>E1795</f>
        <v>0</v>
      </c>
      <c r="F1794" s="1388">
        <f t="shared" si="418"/>
        <v>10000</v>
      </c>
      <c r="G1794" s="1388">
        <f t="shared" si="418"/>
        <v>0</v>
      </c>
      <c r="H1794" s="1389">
        <f t="shared" si="419"/>
        <v>0</v>
      </c>
    </row>
    <row r="1795" spans="1:9" ht="17.100000000000001" customHeight="1">
      <c r="A1795" s="1415"/>
      <c r="B1795" s="2182"/>
      <c r="C1795" s="2180" t="s">
        <v>647</v>
      </c>
      <c r="D1795" s="2180"/>
      <c r="E1795" s="1657">
        <f>E1796</f>
        <v>0</v>
      </c>
      <c r="F1795" s="1657">
        <f t="shared" si="418"/>
        <v>10000</v>
      </c>
      <c r="G1795" s="1657">
        <f t="shared" si="418"/>
        <v>0</v>
      </c>
      <c r="H1795" s="1658">
        <f t="shared" si="419"/>
        <v>0</v>
      </c>
    </row>
    <row r="1796" spans="1:9" ht="27" customHeight="1" thickBot="1">
      <c r="A1796" s="1415"/>
      <c r="B1796" s="2183"/>
      <c r="C1796" s="1552" t="s">
        <v>19</v>
      </c>
      <c r="D1796" s="1553" t="s">
        <v>719</v>
      </c>
      <c r="E1796" s="1659">
        <v>0</v>
      </c>
      <c r="F1796" s="1659">
        <v>10000</v>
      </c>
      <c r="G1796" s="1659">
        <v>0</v>
      </c>
      <c r="H1796" s="1660">
        <f t="shared" si="419"/>
        <v>0</v>
      </c>
    </row>
    <row r="1797" spans="1:9" ht="17.100000000000001" customHeight="1" thickBot="1">
      <c r="A1797" s="1661"/>
      <c r="B1797" s="1144" t="s">
        <v>943</v>
      </c>
      <c r="C1797" s="1145"/>
      <c r="D1797" s="1146" t="s">
        <v>525</v>
      </c>
      <c r="E1797" s="1386">
        <f t="shared" ref="E1797:G1797" si="420">SUM(E1798)</f>
        <v>105911</v>
      </c>
      <c r="F1797" s="1386">
        <f t="shared" si="420"/>
        <v>207211</v>
      </c>
      <c r="G1797" s="1386">
        <f t="shared" si="420"/>
        <v>205622</v>
      </c>
      <c r="H1797" s="1387">
        <f t="shared" si="419"/>
        <v>0.99233148819319439</v>
      </c>
    </row>
    <row r="1798" spans="1:9" ht="17.100000000000001" customHeight="1">
      <c r="A1798" s="1394"/>
      <c r="B1798" s="2154"/>
      <c r="C1798" s="2112" t="s">
        <v>560</v>
      </c>
      <c r="D1798" s="2112"/>
      <c r="E1798" s="1388">
        <f>E1799+E1804</f>
        <v>105911</v>
      </c>
      <c r="F1798" s="1388">
        <f t="shared" ref="F1798:G1798" si="421">F1799+F1804</f>
        <v>207211</v>
      </c>
      <c r="G1798" s="1388">
        <f t="shared" si="421"/>
        <v>205622</v>
      </c>
      <c r="H1798" s="1389">
        <f t="shared" si="419"/>
        <v>0.99233148819319439</v>
      </c>
      <c r="I1798" s="1037"/>
    </row>
    <row r="1799" spans="1:9" ht="17.100000000000001" customHeight="1">
      <c r="A1799" s="1394"/>
      <c r="B1799" s="2154"/>
      <c r="C1799" s="2174" t="s">
        <v>561</v>
      </c>
      <c r="D1799" s="2174"/>
      <c r="E1799" s="1662">
        <f t="shared" ref="E1799:G1799" si="422">E1800</f>
        <v>100911</v>
      </c>
      <c r="F1799" s="1662">
        <f t="shared" si="422"/>
        <v>193011</v>
      </c>
      <c r="G1799" s="1662">
        <f t="shared" si="422"/>
        <v>191424</v>
      </c>
      <c r="H1799" s="1663">
        <f t="shared" si="419"/>
        <v>0.99177767070270606</v>
      </c>
      <c r="I1799" s="1037"/>
    </row>
    <row r="1800" spans="1:9" ht="17.100000000000001" customHeight="1">
      <c r="A1800" s="1394"/>
      <c r="B1800" s="2154"/>
      <c r="C1800" s="2175" t="s">
        <v>570</v>
      </c>
      <c r="D1800" s="2175"/>
      <c r="E1800" s="1664">
        <f>SUM(E1801:E1802)</f>
        <v>100911</v>
      </c>
      <c r="F1800" s="1664">
        <f t="shared" ref="F1800:G1800" si="423">SUM(F1801:F1802)</f>
        <v>193011</v>
      </c>
      <c r="G1800" s="1664">
        <f t="shared" si="423"/>
        <v>191424</v>
      </c>
      <c r="H1800" s="1665">
        <f t="shared" si="419"/>
        <v>0.99177767070270606</v>
      </c>
      <c r="I1800" s="1037"/>
    </row>
    <row r="1801" spans="1:9" ht="17.100000000000001" customHeight="1">
      <c r="A1801" s="1394"/>
      <c r="B1801" s="2154"/>
      <c r="C1801" s="1577" t="s">
        <v>143</v>
      </c>
      <c r="D1801" s="1630" t="s">
        <v>573</v>
      </c>
      <c r="E1801" s="1662">
        <v>10000</v>
      </c>
      <c r="F1801" s="1662">
        <v>5470</v>
      </c>
      <c r="G1801" s="1662">
        <v>5470</v>
      </c>
      <c r="H1801" s="1663">
        <f t="shared" si="419"/>
        <v>1</v>
      </c>
      <c r="I1801" s="1037"/>
    </row>
    <row r="1802" spans="1:9" ht="17.100000000000001" customHeight="1">
      <c r="A1802" s="1394"/>
      <c r="B1802" s="2154"/>
      <c r="C1802" s="1552" t="s">
        <v>25</v>
      </c>
      <c r="D1802" s="1553" t="s">
        <v>581</v>
      </c>
      <c r="E1802" s="1662">
        <f>75911+15000</f>
        <v>90911</v>
      </c>
      <c r="F1802" s="1662">
        <v>187541</v>
      </c>
      <c r="G1802" s="1662">
        <v>185954</v>
      </c>
      <c r="H1802" s="1663">
        <f t="shared" si="419"/>
        <v>0.99153785039004805</v>
      </c>
      <c r="I1802" s="1037"/>
    </row>
    <row r="1803" spans="1:9" ht="17.100000000000001" customHeight="1">
      <c r="A1803" s="1394"/>
      <c r="B1803" s="1514"/>
      <c r="C1803" s="1581"/>
      <c r="D1803" s="1630"/>
      <c r="E1803" s="1662"/>
      <c r="F1803" s="1662"/>
      <c r="G1803" s="1662"/>
      <c r="H1803" s="1663"/>
      <c r="I1803" s="1037"/>
    </row>
    <row r="1804" spans="1:9" ht="17.100000000000001" customHeight="1">
      <c r="A1804" s="1394"/>
      <c r="B1804" s="1514"/>
      <c r="C1804" s="2180" t="s">
        <v>647</v>
      </c>
      <c r="D1804" s="2180"/>
      <c r="E1804" s="1657">
        <f>E1805</f>
        <v>5000</v>
      </c>
      <c r="F1804" s="1657">
        <f t="shared" ref="F1804:G1804" si="424">F1805</f>
        <v>14200</v>
      </c>
      <c r="G1804" s="1657">
        <f t="shared" si="424"/>
        <v>14198</v>
      </c>
      <c r="H1804" s="1658">
        <f t="shared" si="419"/>
        <v>0.99985915492957744</v>
      </c>
      <c r="I1804" s="1037"/>
    </row>
    <row r="1805" spans="1:9" ht="39.75" customHeight="1" thickBot="1">
      <c r="A1805" s="1394"/>
      <c r="B1805" s="1514"/>
      <c r="C1805" s="1666" t="s">
        <v>125</v>
      </c>
      <c r="D1805" s="1667" t="s">
        <v>656</v>
      </c>
      <c r="E1805" s="1662">
        <v>5000</v>
      </c>
      <c r="F1805" s="1662">
        <v>14200</v>
      </c>
      <c r="G1805" s="1662">
        <v>14198</v>
      </c>
      <c r="H1805" s="1663">
        <f t="shared" si="419"/>
        <v>0.99985915492957744</v>
      </c>
      <c r="I1805" s="1037"/>
    </row>
    <row r="1806" spans="1:9" ht="18" customHeight="1" thickBot="1">
      <c r="A1806" s="1394"/>
      <c r="B1806" s="1144" t="s">
        <v>944</v>
      </c>
      <c r="C1806" s="1145"/>
      <c r="D1806" s="1146" t="s">
        <v>945</v>
      </c>
      <c r="E1806" s="1386">
        <f>SUM(E1807)</f>
        <v>0</v>
      </c>
      <c r="F1806" s="1386">
        <f t="shared" ref="F1806:G1806" si="425">SUM(F1807)</f>
        <v>99100</v>
      </c>
      <c r="G1806" s="1386">
        <f t="shared" si="425"/>
        <v>0</v>
      </c>
      <c r="H1806" s="1387">
        <f t="shared" si="419"/>
        <v>0</v>
      </c>
      <c r="I1806" s="1037"/>
    </row>
    <row r="1807" spans="1:9" ht="15.75" customHeight="1">
      <c r="A1807" s="1394"/>
      <c r="B1807" s="1514"/>
      <c r="C1807" s="2112" t="s">
        <v>560</v>
      </c>
      <c r="D1807" s="2112"/>
      <c r="E1807" s="1388">
        <f>E1808</f>
        <v>0</v>
      </c>
      <c r="F1807" s="1388">
        <f t="shared" ref="F1807:G1807" si="426">F1808</f>
        <v>99100</v>
      </c>
      <c r="G1807" s="1388">
        <f t="shared" si="426"/>
        <v>0</v>
      </c>
      <c r="H1807" s="1389">
        <f t="shared" si="419"/>
        <v>0</v>
      </c>
      <c r="I1807" s="1037"/>
    </row>
    <row r="1808" spans="1:9" ht="15.75" customHeight="1">
      <c r="A1808" s="1394"/>
      <c r="B1808" s="1514"/>
      <c r="C1808" s="2174" t="s">
        <v>561</v>
      </c>
      <c r="D1808" s="2174"/>
      <c r="E1808" s="1662">
        <f>E1809</f>
        <v>0</v>
      </c>
      <c r="F1808" s="1662">
        <f>F1809</f>
        <v>99100</v>
      </c>
      <c r="G1808" s="1662">
        <f>G1809</f>
        <v>0</v>
      </c>
      <c r="H1808" s="1663">
        <f t="shared" si="419"/>
        <v>0</v>
      </c>
      <c r="I1808" s="1037"/>
    </row>
    <row r="1809" spans="1:9" ht="15.75" customHeight="1">
      <c r="A1809" s="1394"/>
      <c r="B1809" s="1514"/>
      <c r="C1809" s="2175" t="s">
        <v>570</v>
      </c>
      <c r="D1809" s="2175"/>
      <c r="E1809" s="1664">
        <f>E1810</f>
        <v>0</v>
      </c>
      <c r="F1809" s="1664">
        <f t="shared" ref="F1809:G1809" si="427">F1810</f>
        <v>99100</v>
      </c>
      <c r="G1809" s="1664">
        <f t="shared" si="427"/>
        <v>0</v>
      </c>
      <c r="H1809" s="1665">
        <f t="shared" si="419"/>
        <v>0</v>
      </c>
      <c r="I1809" s="1037"/>
    </row>
    <row r="1810" spans="1:9" ht="16.5" customHeight="1" thickBot="1">
      <c r="A1810" s="1394"/>
      <c r="B1810" s="1514"/>
      <c r="C1810" s="1552" t="s">
        <v>25</v>
      </c>
      <c r="D1810" s="1553" t="s">
        <v>581</v>
      </c>
      <c r="E1810" s="1662">
        <v>0</v>
      </c>
      <c r="F1810" s="1662">
        <v>99100</v>
      </c>
      <c r="G1810" s="1662">
        <v>0</v>
      </c>
      <c r="H1810" s="1663">
        <f t="shared" si="419"/>
        <v>0</v>
      </c>
      <c r="I1810" s="1037"/>
    </row>
    <row r="1811" spans="1:9" ht="18.75" customHeight="1" thickBot="1">
      <c r="A1811" s="1394"/>
      <c r="B1811" s="1144" t="s">
        <v>203</v>
      </c>
      <c r="C1811" s="1145"/>
      <c r="D1811" s="1146" t="s">
        <v>204</v>
      </c>
      <c r="E1811" s="1386">
        <f>E1812</f>
        <v>0</v>
      </c>
      <c r="F1811" s="1386">
        <f t="shared" ref="F1811:G1813" si="428">F1812</f>
        <v>10000</v>
      </c>
      <c r="G1811" s="1386">
        <f t="shared" si="428"/>
        <v>10000</v>
      </c>
      <c r="H1811" s="1387">
        <f t="shared" si="419"/>
        <v>1</v>
      </c>
      <c r="I1811" s="1037"/>
    </row>
    <row r="1812" spans="1:9" ht="15.75" customHeight="1">
      <c r="A1812" s="1394"/>
      <c r="B1812" s="2181"/>
      <c r="C1812" s="2112" t="s">
        <v>605</v>
      </c>
      <c r="D1812" s="2112"/>
      <c r="E1812" s="1388">
        <f>E1813</f>
        <v>0</v>
      </c>
      <c r="F1812" s="1388">
        <f t="shared" si="428"/>
        <v>10000</v>
      </c>
      <c r="G1812" s="1388">
        <f t="shared" si="428"/>
        <v>10000</v>
      </c>
      <c r="H1812" s="1389">
        <f t="shared" si="419"/>
        <v>1</v>
      </c>
      <c r="I1812" s="1037"/>
    </row>
    <row r="1813" spans="1:9" ht="15" customHeight="1">
      <c r="A1813" s="1394"/>
      <c r="B1813" s="2182"/>
      <c r="C1813" s="2180" t="s">
        <v>606</v>
      </c>
      <c r="D1813" s="2180"/>
      <c r="E1813" s="1657">
        <f>E1814</f>
        <v>0</v>
      </c>
      <c r="F1813" s="1657">
        <f t="shared" si="428"/>
        <v>10000</v>
      </c>
      <c r="G1813" s="1657">
        <f t="shared" si="428"/>
        <v>10000</v>
      </c>
      <c r="H1813" s="1658">
        <f t="shared" si="419"/>
        <v>1</v>
      </c>
      <c r="I1813" s="1037"/>
    </row>
    <row r="1814" spans="1:9" ht="40.5" customHeight="1" thickBot="1">
      <c r="A1814" s="1394"/>
      <c r="B1814" s="2183"/>
      <c r="C1814" s="1552" t="s">
        <v>22</v>
      </c>
      <c r="D1814" s="1553" t="s">
        <v>711</v>
      </c>
      <c r="E1814" s="1659">
        <v>0</v>
      </c>
      <c r="F1814" s="1659">
        <v>10000</v>
      </c>
      <c r="G1814" s="1659">
        <v>10000</v>
      </c>
      <c r="H1814" s="1660">
        <f t="shared" si="419"/>
        <v>1</v>
      </c>
      <c r="I1814" s="1037"/>
    </row>
    <row r="1815" spans="1:9" ht="24.75" customHeight="1" thickBot="1">
      <c r="A1815" s="1394"/>
      <c r="B1815" s="1144" t="s">
        <v>167</v>
      </c>
      <c r="C1815" s="1145"/>
      <c r="D1815" s="1146" t="s">
        <v>168</v>
      </c>
      <c r="E1815" s="1668">
        <f>E1816+E1826</f>
        <v>635000</v>
      </c>
      <c r="F1815" s="1668">
        <f t="shared" ref="F1815:G1815" si="429">F1816+F1826</f>
        <v>719103</v>
      </c>
      <c r="G1815" s="1668">
        <f t="shared" si="429"/>
        <v>698888</v>
      </c>
      <c r="H1815" s="1669">
        <f t="shared" si="419"/>
        <v>0.97188858897821317</v>
      </c>
      <c r="I1815" s="1037"/>
    </row>
    <row r="1816" spans="1:9" ht="17.100000000000001" customHeight="1">
      <c r="A1816" s="1394"/>
      <c r="B1816" s="2154"/>
      <c r="C1816" s="2112" t="s">
        <v>560</v>
      </c>
      <c r="D1816" s="2112"/>
      <c r="E1816" s="1388">
        <f t="shared" ref="E1816:G1816" si="430">SUM(E1817)</f>
        <v>615000</v>
      </c>
      <c r="F1816" s="1388">
        <f t="shared" si="430"/>
        <v>699103</v>
      </c>
      <c r="G1816" s="1388">
        <f t="shared" si="430"/>
        <v>698888</v>
      </c>
      <c r="H1816" s="1389">
        <f t="shared" si="419"/>
        <v>0.99969246305623061</v>
      </c>
      <c r="I1816" s="1037"/>
    </row>
    <row r="1817" spans="1:9" ht="17.100000000000001" customHeight="1">
      <c r="A1817" s="1394"/>
      <c r="B1817" s="2154"/>
      <c r="C1817" s="2174" t="s">
        <v>561</v>
      </c>
      <c r="D1817" s="2174"/>
      <c r="E1817" s="1662">
        <f t="shared" ref="E1817:G1817" si="431">SUM(E1818,E1823)</f>
        <v>615000</v>
      </c>
      <c r="F1817" s="1662">
        <f t="shared" si="431"/>
        <v>699103</v>
      </c>
      <c r="G1817" s="1662">
        <f t="shared" si="431"/>
        <v>698888</v>
      </c>
      <c r="H1817" s="1663">
        <f t="shared" si="419"/>
        <v>0.99969246305623061</v>
      </c>
      <c r="I1817" s="1037"/>
    </row>
    <row r="1818" spans="1:9" ht="17.100000000000001" customHeight="1">
      <c r="A1818" s="1394"/>
      <c r="B1818" s="2154"/>
      <c r="C1818" s="2143" t="s">
        <v>562</v>
      </c>
      <c r="D1818" s="2143"/>
      <c r="E1818" s="1664">
        <f t="shared" ref="E1818:G1818" si="432">SUM(E1819:E1821)</f>
        <v>600000</v>
      </c>
      <c r="F1818" s="1664">
        <f t="shared" si="432"/>
        <v>684081</v>
      </c>
      <c r="G1818" s="1664">
        <f t="shared" si="432"/>
        <v>683866</v>
      </c>
      <c r="H1818" s="1665">
        <f t="shared" si="419"/>
        <v>0.99968570973320414</v>
      </c>
      <c r="I1818" s="1037"/>
    </row>
    <row r="1819" spans="1:9" ht="17.100000000000001" customHeight="1">
      <c r="A1819" s="1394"/>
      <c r="B1819" s="2154"/>
      <c r="C1819" s="1670" t="s">
        <v>145</v>
      </c>
      <c r="D1819" s="1671" t="s">
        <v>563</v>
      </c>
      <c r="E1819" s="1662">
        <v>500710</v>
      </c>
      <c r="F1819" s="1662">
        <v>570895</v>
      </c>
      <c r="G1819" s="1662">
        <v>570895</v>
      </c>
      <c r="H1819" s="1663">
        <f t="shared" si="419"/>
        <v>1</v>
      </c>
      <c r="I1819" s="1037"/>
    </row>
    <row r="1820" spans="1:9" ht="17.100000000000001" customHeight="1">
      <c r="A1820" s="1394"/>
      <c r="B1820" s="2154"/>
      <c r="C1820" s="1552" t="s">
        <v>146</v>
      </c>
      <c r="D1820" s="1553" t="s">
        <v>566</v>
      </c>
      <c r="E1820" s="1662">
        <v>87018</v>
      </c>
      <c r="F1820" s="1662">
        <v>99216</v>
      </c>
      <c r="G1820" s="1662">
        <v>99216</v>
      </c>
      <c r="H1820" s="1663">
        <f t="shared" si="419"/>
        <v>1</v>
      </c>
      <c r="I1820" s="1037"/>
    </row>
    <row r="1821" spans="1:9" ht="17.100000000000001" customHeight="1">
      <c r="A1821" s="1394"/>
      <c r="B1821" s="2154"/>
      <c r="C1821" s="1552" t="s">
        <v>147</v>
      </c>
      <c r="D1821" s="1553" t="s">
        <v>567</v>
      </c>
      <c r="E1821" s="1662">
        <v>12272</v>
      </c>
      <c r="F1821" s="1662">
        <v>13970</v>
      </c>
      <c r="G1821" s="1662">
        <v>13755</v>
      </c>
      <c r="H1821" s="1663">
        <f t="shared" si="419"/>
        <v>0.98460987831066571</v>
      </c>
      <c r="I1821" s="1037"/>
    </row>
    <row r="1822" spans="1:9" ht="17.100000000000001" customHeight="1">
      <c r="A1822" s="1394"/>
      <c r="B1822" s="2154"/>
      <c r="C1822" s="1266"/>
      <c r="D1822" s="1272"/>
      <c r="E1822" s="1672"/>
      <c r="F1822" s="1672"/>
      <c r="G1822" s="1672"/>
      <c r="H1822" s="1673"/>
      <c r="I1822" s="1037"/>
    </row>
    <row r="1823" spans="1:9" ht="17.100000000000001" customHeight="1">
      <c r="A1823" s="1394"/>
      <c r="B1823" s="2154"/>
      <c r="C1823" s="2175" t="s">
        <v>570</v>
      </c>
      <c r="D1823" s="2175"/>
      <c r="E1823" s="1664">
        <f>E1824</f>
        <v>15000</v>
      </c>
      <c r="F1823" s="1664">
        <f>F1824</f>
        <v>15022</v>
      </c>
      <c r="G1823" s="1664">
        <f>G1824</f>
        <v>15022</v>
      </c>
      <c r="H1823" s="1665">
        <f t="shared" si="419"/>
        <v>1</v>
      </c>
      <c r="I1823" s="1037"/>
    </row>
    <row r="1824" spans="1:9" ht="17.100000000000001" customHeight="1">
      <c r="A1824" s="1394"/>
      <c r="B1824" s="2154"/>
      <c r="C1824" s="1552" t="s">
        <v>148</v>
      </c>
      <c r="D1824" s="1553" t="s">
        <v>601</v>
      </c>
      <c r="E1824" s="1662">
        <v>15000</v>
      </c>
      <c r="F1824" s="1662">
        <v>15022</v>
      </c>
      <c r="G1824" s="1662">
        <v>15022</v>
      </c>
      <c r="H1824" s="1663">
        <f t="shared" si="419"/>
        <v>1</v>
      </c>
      <c r="I1824" s="1037"/>
    </row>
    <row r="1825" spans="1:9" ht="17.100000000000001" customHeight="1">
      <c r="A1825" s="1394"/>
      <c r="B1825" s="1514"/>
      <c r="C1825" s="2165"/>
      <c r="D1825" s="2179"/>
      <c r="E1825" s="1662"/>
      <c r="F1825" s="1662"/>
      <c r="G1825" s="1662"/>
      <c r="H1825" s="1663"/>
      <c r="I1825" s="1037"/>
    </row>
    <row r="1826" spans="1:9" ht="17.100000000000001" customHeight="1">
      <c r="A1826" s="1394"/>
      <c r="B1826" s="1514"/>
      <c r="C1826" s="2148" t="s">
        <v>605</v>
      </c>
      <c r="D1826" s="2148"/>
      <c r="E1826" s="1388">
        <f t="shared" ref="E1826:G1826" si="433">E1827</f>
        <v>20000</v>
      </c>
      <c r="F1826" s="1388">
        <f t="shared" si="433"/>
        <v>20000</v>
      </c>
      <c r="G1826" s="1388">
        <f t="shared" si="433"/>
        <v>0</v>
      </c>
      <c r="H1826" s="1389">
        <f t="shared" si="419"/>
        <v>0</v>
      </c>
      <c r="I1826" s="1037"/>
    </row>
    <row r="1827" spans="1:9" ht="17.100000000000001" customHeight="1">
      <c r="A1827" s="1394"/>
      <c r="B1827" s="1514"/>
      <c r="C1827" s="2161" t="s">
        <v>606</v>
      </c>
      <c r="D1827" s="2177"/>
      <c r="E1827" s="1662">
        <f>SUM(E1828:E1828)</f>
        <v>20000</v>
      </c>
      <c r="F1827" s="1662">
        <f t="shared" ref="F1827:G1827" si="434">SUM(F1828:F1828)</f>
        <v>20000</v>
      </c>
      <c r="G1827" s="1662">
        <f t="shared" si="434"/>
        <v>0</v>
      </c>
      <c r="H1827" s="1663">
        <f t="shared" si="419"/>
        <v>0</v>
      </c>
      <c r="I1827" s="1037"/>
    </row>
    <row r="1828" spans="1:9" ht="17.100000000000001" customHeight="1" thickBot="1">
      <c r="A1828" s="1394"/>
      <c r="B1828" s="1514"/>
      <c r="C1828" s="1107" t="s">
        <v>144</v>
      </c>
      <c r="D1828" s="1108" t="s">
        <v>650</v>
      </c>
      <c r="E1828" s="1657">
        <v>20000</v>
      </c>
      <c r="F1828" s="1657">
        <v>20000</v>
      </c>
      <c r="G1828" s="1657">
        <v>0</v>
      </c>
      <c r="H1828" s="1658">
        <f t="shared" si="419"/>
        <v>0</v>
      </c>
      <c r="I1828" s="1037"/>
    </row>
    <row r="1829" spans="1:9" ht="20.100000000000001" customHeight="1" thickBot="1">
      <c r="A1829" s="1394"/>
      <c r="B1829" s="1144" t="s">
        <v>169</v>
      </c>
      <c r="C1829" s="1145"/>
      <c r="D1829" s="1146" t="s">
        <v>170</v>
      </c>
      <c r="E1829" s="1386">
        <f t="shared" ref="E1829:G1830" si="435">E1830</f>
        <v>7000</v>
      </c>
      <c r="F1829" s="1386">
        <f t="shared" si="435"/>
        <v>17057</v>
      </c>
      <c r="G1829" s="1386">
        <f t="shared" si="435"/>
        <v>1479</v>
      </c>
      <c r="H1829" s="1387">
        <f t="shared" si="419"/>
        <v>8.6709268921850269E-2</v>
      </c>
      <c r="I1829" s="1037"/>
    </row>
    <row r="1830" spans="1:9" ht="17.100000000000001" customHeight="1">
      <c r="A1830" s="1394"/>
      <c r="B1830" s="2154"/>
      <c r="C1830" s="2112" t="s">
        <v>560</v>
      </c>
      <c r="D1830" s="2112"/>
      <c r="E1830" s="1388">
        <f t="shared" si="435"/>
        <v>7000</v>
      </c>
      <c r="F1830" s="1388">
        <f t="shared" si="435"/>
        <v>17057</v>
      </c>
      <c r="G1830" s="1388">
        <f t="shared" si="435"/>
        <v>1479</v>
      </c>
      <c r="H1830" s="1389">
        <f t="shared" si="419"/>
        <v>8.6709268921850269E-2</v>
      </c>
      <c r="I1830" s="1037"/>
    </row>
    <row r="1831" spans="1:9" ht="12.75" customHeight="1">
      <c r="A1831" s="1394"/>
      <c r="B1831" s="2154"/>
      <c r="C1831" s="2174" t="s">
        <v>561</v>
      </c>
      <c r="D1831" s="2174"/>
      <c r="E1831" s="1662">
        <f>SUM(E1832)</f>
        <v>7000</v>
      </c>
      <c r="F1831" s="1662">
        <f t="shared" ref="F1831:G1831" si="436">SUM(F1832)</f>
        <v>17057</v>
      </c>
      <c r="G1831" s="1662">
        <f t="shared" si="436"/>
        <v>1479</v>
      </c>
      <c r="H1831" s="1663">
        <f t="shared" si="419"/>
        <v>8.6709268921850269E-2</v>
      </c>
      <c r="I1831" s="1037"/>
    </row>
    <row r="1832" spans="1:9" ht="17.100000000000001" customHeight="1">
      <c r="A1832" s="1394"/>
      <c r="B1832" s="2154"/>
      <c r="C1832" s="2178" t="s">
        <v>570</v>
      </c>
      <c r="D1832" s="2178"/>
      <c r="E1832" s="1674">
        <f t="shared" ref="E1832:G1832" si="437">E1833</f>
        <v>7000</v>
      </c>
      <c r="F1832" s="1674">
        <f t="shared" si="437"/>
        <v>17057</v>
      </c>
      <c r="G1832" s="1674">
        <f t="shared" si="437"/>
        <v>1479</v>
      </c>
      <c r="H1832" s="1675">
        <f t="shared" si="419"/>
        <v>8.6709268921850269E-2</v>
      </c>
      <c r="I1832" s="1037"/>
    </row>
    <row r="1833" spans="1:9" ht="17.100000000000001" customHeight="1" thickBot="1">
      <c r="A1833" s="1394"/>
      <c r="B1833" s="2154"/>
      <c r="C1833" s="1251" t="s">
        <v>143</v>
      </c>
      <c r="D1833" s="1252" t="s">
        <v>573</v>
      </c>
      <c r="E1833" s="1384">
        <v>7000</v>
      </c>
      <c r="F1833" s="1384">
        <v>17057</v>
      </c>
      <c r="G1833" s="1384">
        <v>1479</v>
      </c>
      <c r="H1833" s="1385">
        <f t="shared" si="419"/>
        <v>8.6709268921850269E-2</v>
      </c>
      <c r="I1833" s="1037"/>
    </row>
    <row r="1834" spans="1:9" ht="24.75" customHeight="1" thickBot="1">
      <c r="A1834" s="1394"/>
      <c r="B1834" s="1144" t="s">
        <v>175</v>
      </c>
      <c r="C1834" s="1145"/>
      <c r="D1834" s="1146" t="s">
        <v>176</v>
      </c>
      <c r="E1834" s="1386">
        <f t="shared" ref="E1834:G1835" si="438">E1835</f>
        <v>1500</v>
      </c>
      <c r="F1834" s="1386">
        <f t="shared" si="438"/>
        <v>2834</v>
      </c>
      <c r="G1834" s="1386">
        <f t="shared" si="438"/>
        <v>2834</v>
      </c>
      <c r="H1834" s="1387">
        <f t="shared" si="419"/>
        <v>1</v>
      </c>
      <c r="I1834" s="1037"/>
    </row>
    <row r="1835" spans="1:9" ht="17.100000000000001" customHeight="1">
      <c r="A1835" s="1394"/>
      <c r="B1835" s="2173"/>
      <c r="C1835" s="2112" t="s">
        <v>560</v>
      </c>
      <c r="D1835" s="2112"/>
      <c r="E1835" s="1388">
        <f>E1836</f>
        <v>1500</v>
      </c>
      <c r="F1835" s="1388">
        <f t="shared" si="438"/>
        <v>2834</v>
      </c>
      <c r="G1835" s="1388">
        <f t="shared" si="438"/>
        <v>2834</v>
      </c>
      <c r="H1835" s="1389">
        <f t="shared" si="419"/>
        <v>1</v>
      </c>
      <c r="I1835" s="1037"/>
    </row>
    <row r="1836" spans="1:9" ht="17.100000000000001" customHeight="1">
      <c r="A1836" s="1394"/>
      <c r="B1836" s="2173"/>
      <c r="C1836" s="2174" t="s">
        <v>561</v>
      </c>
      <c r="D1836" s="2174"/>
      <c r="E1836" s="1662">
        <f>SUM(E1842+E1837)</f>
        <v>1500</v>
      </c>
      <c r="F1836" s="1662">
        <f t="shared" ref="F1836:G1836" si="439">SUM(F1842+F1837)</f>
        <v>2834</v>
      </c>
      <c r="G1836" s="1662">
        <f t="shared" si="439"/>
        <v>2834</v>
      </c>
      <c r="H1836" s="1663">
        <f t="shared" si="419"/>
        <v>1</v>
      </c>
      <c r="I1836" s="1037"/>
    </row>
    <row r="1837" spans="1:9" ht="17.100000000000001" customHeight="1">
      <c r="A1837" s="1394"/>
      <c r="B1837" s="2173"/>
      <c r="C1837" s="2143" t="s">
        <v>562</v>
      </c>
      <c r="D1837" s="2143"/>
      <c r="E1837" s="1664">
        <f>SUM(E1838:E1840)</f>
        <v>0</v>
      </c>
      <c r="F1837" s="1664">
        <f t="shared" ref="F1837:G1837" si="440">SUM(F1838:F1840)</f>
        <v>1334</v>
      </c>
      <c r="G1837" s="1664">
        <f t="shared" si="440"/>
        <v>1334</v>
      </c>
      <c r="H1837" s="1665">
        <f t="shared" si="419"/>
        <v>1</v>
      </c>
      <c r="I1837" s="1037"/>
    </row>
    <row r="1838" spans="1:9" ht="17.100000000000001" customHeight="1">
      <c r="A1838" s="1394"/>
      <c r="B1838" s="2173"/>
      <c r="C1838" s="1670" t="s">
        <v>145</v>
      </c>
      <c r="D1838" s="1671" t="s">
        <v>563</v>
      </c>
      <c r="E1838" s="1662">
        <v>0</v>
      </c>
      <c r="F1838" s="1662">
        <v>1113</v>
      </c>
      <c r="G1838" s="1662">
        <v>1113</v>
      </c>
      <c r="H1838" s="1663">
        <f t="shared" si="419"/>
        <v>1</v>
      </c>
      <c r="I1838" s="1037"/>
    </row>
    <row r="1839" spans="1:9" ht="17.100000000000001" customHeight="1">
      <c r="A1839" s="1394"/>
      <c r="B1839" s="2173"/>
      <c r="C1839" s="1552" t="s">
        <v>146</v>
      </c>
      <c r="D1839" s="1553" t="s">
        <v>566</v>
      </c>
      <c r="E1839" s="1662">
        <v>0</v>
      </c>
      <c r="F1839" s="1662">
        <v>194</v>
      </c>
      <c r="G1839" s="1662">
        <v>194</v>
      </c>
      <c r="H1839" s="1663">
        <f t="shared" si="419"/>
        <v>1</v>
      </c>
      <c r="I1839" s="1037"/>
    </row>
    <row r="1840" spans="1:9" ht="17.100000000000001" customHeight="1">
      <c r="A1840" s="1394"/>
      <c r="B1840" s="2173"/>
      <c r="C1840" s="1552" t="s">
        <v>147</v>
      </c>
      <c r="D1840" s="1553" t="s">
        <v>567</v>
      </c>
      <c r="E1840" s="1662">
        <v>0</v>
      </c>
      <c r="F1840" s="1662">
        <v>27</v>
      </c>
      <c r="G1840" s="1662">
        <v>27</v>
      </c>
      <c r="H1840" s="1663">
        <f t="shared" si="419"/>
        <v>1</v>
      </c>
      <c r="I1840" s="1037"/>
    </row>
    <row r="1841" spans="1:9" ht="17.100000000000001" customHeight="1">
      <c r="A1841" s="1394"/>
      <c r="B1841" s="2173"/>
      <c r="C1841" s="1676"/>
      <c r="D1841" s="1676"/>
      <c r="E1841" s="1662"/>
      <c r="F1841" s="1662"/>
      <c r="G1841" s="1662"/>
      <c r="H1841" s="1663"/>
      <c r="I1841" s="1037"/>
    </row>
    <row r="1842" spans="1:9" ht="17.100000000000001" customHeight="1">
      <c r="A1842" s="1394"/>
      <c r="B1842" s="2173"/>
      <c r="C1842" s="2175" t="s">
        <v>570</v>
      </c>
      <c r="D1842" s="2175"/>
      <c r="E1842" s="1664">
        <f t="shared" ref="E1842:G1842" si="441">E1844+E1843</f>
        <v>1500</v>
      </c>
      <c r="F1842" s="1664">
        <f t="shared" si="441"/>
        <v>1500</v>
      </c>
      <c r="G1842" s="1664">
        <f t="shared" si="441"/>
        <v>1500</v>
      </c>
      <c r="H1842" s="1665">
        <f t="shared" si="419"/>
        <v>1</v>
      </c>
      <c r="I1842" s="1037"/>
    </row>
    <row r="1843" spans="1:9" ht="17.100000000000001" hidden="1" customHeight="1">
      <c r="A1843" s="1394"/>
      <c r="B1843" s="2173"/>
      <c r="C1843" s="1552" t="s">
        <v>143</v>
      </c>
      <c r="D1843" s="1553" t="s">
        <v>573</v>
      </c>
      <c r="E1843" s="1662"/>
      <c r="F1843" s="1662"/>
      <c r="G1843" s="1662"/>
      <c r="H1843" s="1663" t="e">
        <f t="shared" si="419"/>
        <v>#DIV/0!</v>
      </c>
      <c r="I1843" s="1037"/>
    </row>
    <row r="1844" spans="1:9" ht="17.100000000000001" customHeight="1" thickBot="1">
      <c r="A1844" s="1394"/>
      <c r="B1844" s="2173"/>
      <c r="C1844" s="1611" t="s">
        <v>148</v>
      </c>
      <c r="D1844" s="1546" t="s">
        <v>601</v>
      </c>
      <c r="E1844" s="1657">
        <v>1500</v>
      </c>
      <c r="F1844" s="1657">
        <v>1500</v>
      </c>
      <c r="G1844" s="1657">
        <v>1500</v>
      </c>
      <c r="H1844" s="1658">
        <f t="shared" si="419"/>
        <v>1</v>
      </c>
      <c r="I1844" s="1037"/>
    </row>
    <row r="1845" spans="1:9" ht="17.100000000000001" customHeight="1" thickBot="1">
      <c r="A1845" s="1394"/>
      <c r="B1845" s="1144" t="s">
        <v>88</v>
      </c>
      <c r="C1845" s="1145"/>
      <c r="D1845" s="1146" t="s">
        <v>11</v>
      </c>
      <c r="E1845" s="1386">
        <f>E1846+E1857</f>
        <v>61800</v>
      </c>
      <c r="F1845" s="1386">
        <f>F1846+F1857</f>
        <v>105800</v>
      </c>
      <c r="G1845" s="1386">
        <f>G1846+G1857</f>
        <v>92974</v>
      </c>
      <c r="H1845" s="1677">
        <f t="shared" si="419"/>
        <v>0.87877126654064275</v>
      </c>
      <c r="I1845" s="1037"/>
    </row>
    <row r="1846" spans="1:9" ht="17.100000000000001" customHeight="1">
      <c r="A1846" s="1394"/>
      <c r="B1846" s="2154"/>
      <c r="C1846" s="2112" t="s">
        <v>560</v>
      </c>
      <c r="D1846" s="2112"/>
      <c r="E1846" s="1063">
        <f>E1847+E1854</f>
        <v>61800</v>
      </c>
      <c r="F1846" s="1063">
        <f>F1847+F1854</f>
        <v>45800</v>
      </c>
      <c r="G1846" s="1063">
        <f>G1847+G1854</f>
        <v>42981</v>
      </c>
      <c r="H1846" s="1064">
        <f t="shared" si="419"/>
        <v>0.93844978165938864</v>
      </c>
      <c r="I1846" s="1037"/>
    </row>
    <row r="1847" spans="1:9" ht="17.100000000000001" customHeight="1">
      <c r="A1847" s="1394"/>
      <c r="B1847" s="2154"/>
      <c r="C1847" s="2174" t="s">
        <v>561</v>
      </c>
      <c r="D1847" s="2174"/>
      <c r="E1847" s="1079">
        <f>E1848</f>
        <v>61800</v>
      </c>
      <c r="F1847" s="1678">
        <f t="shared" ref="F1847:G1847" si="442">F1848</f>
        <v>25800</v>
      </c>
      <c r="G1847" s="1079">
        <f t="shared" si="442"/>
        <v>23481</v>
      </c>
      <c r="H1847" s="1080">
        <f t="shared" si="419"/>
        <v>0.91011627906976744</v>
      </c>
      <c r="I1847" s="1037"/>
    </row>
    <row r="1848" spans="1:9" ht="17.100000000000001" customHeight="1">
      <c r="A1848" s="1394"/>
      <c r="B1848" s="2154"/>
      <c r="C1848" s="2176" t="s">
        <v>570</v>
      </c>
      <c r="D1848" s="2176"/>
      <c r="E1848" s="1115">
        <f>SUM(E1849:E1852)</f>
        <v>61800</v>
      </c>
      <c r="F1848" s="1115">
        <f t="shared" ref="F1848:G1848" si="443">SUM(F1849:F1852)</f>
        <v>25800</v>
      </c>
      <c r="G1848" s="1115">
        <f t="shared" si="443"/>
        <v>23481</v>
      </c>
      <c r="H1848" s="1116">
        <f t="shared" si="419"/>
        <v>0.91011627906976744</v>
      </c>
      <c r="I1848" s="1037"/>
    </row>
    <row r="1849" spans="1:9" ht="17.100000000000001" customHeight="1">
      <c r="A1849" s="1394"/>
      <c r="B1849" s="2154"/>
      <c r="C1849" s="1666" t="s">
        <v>163</v>
      </c>
      <c r="D1849" s="1676" t="s">
        <v>631</v>
      </c>
      <c r="E1849" s="1543">
        <v>0</v>
      </c>
      <c r="F1849" s="1648">
        <v>9000</v>
      </c>
      <c r="G1849" s="1543">
        <v>8939</v>
      </c>
      <c r="H1849" s="1080">
        <f t="shared" si="419"/>
        <v>0.99322222222222223</v>
      </c>
      <c r="I1849" s="1037"/>
    </row>
    <row r="1850" spans="1:9" ht="17.100000000000001" customHeight="1">
      <c r="A1850" s="1394"/>
      <c r="B1850" s="2154"/>
      <c r="C1850" s="1666" t="s">
        <v>143</v>
      </c>
      <c r="D1850" s="1676" t="s">
        <v>573</v>
      </c>
      <c r="E1850" s="1543">
        <v>0</v>
      </c>
      <c r="F1850" s="1648">
        <v>2000</v>
      </c>
      <c r="G1850" s="1543">
        <v>2000</v>
      </c>
      <c r="H1850" s="1080">
        <f t="shared" si="419"/>
        <v>1</v>
      </c>
      <c r="I1850" s="1037"/>
    </row>
    <row r="1851" spans="1:9" ht="17.100000000000001" customHeight="1">
      <c r="A1851" s="1394"/>
      <c r="B1851" s="2154"/>
      <c r="C1851" s="1107" t="s">
        <v>25</v>
      </c>
      <c r="D1851" s="1546" t="s">
        <v>581</v>
      </c>
      <c r="E1851" s="1543">
        <v>33000</v>
      </c>
      <c r="F1851" s="1648">
        <v>6000</v>
      </c>
      <c r="G1851" s="1543">
        <v>5990</v>
      </c>
      <c r="H1851" s="1544">
        <f t="shared" si="419"/>
        <v>0.99833333333333329</v>
      </c>
      <c r="I1851" s="1037"/>
    </row>
    <row r="1852" spans="1:9" ht="17.100000000000001" customHeight="1">
      <c r="A1852" s="1394"/>
      <c r="B1852" s="2154"/>
      <c r="C1852" s="1552" t="s">
        <v>164</v>
      </c>
      <c r="D1852" s="1553" t="s">
        <v>584</v>
      </c>
      <c r="E1852" s="1589">
        <v>28800</v>
      </c>
      <c r="F1852" s="1679">
        <v>8800</v>
      </c>
      <c r="G1852" s="1589">
        <v>6552</v>
      </c>
      <c r="H1852" s="1590">
        <f t="shared" si="419"/>
        <v>0.74454545454545451</v>
      </c>
      <c r="I1852" s="1037"/>
    </row>
    <row r="1853" spans="1:9" ht="17.100000000000001" customHeight="1">
      <c r="A1853" s="1394"/>
      <c r="B1853" s="1514"/>
      <c r="C1853" s="2165"/>
      <c r="D1853" s="2166"/>
      <c r="E1853" s="1079"/>
      <c r="F1853" s="1678"/>
      <c r="G1853" s="1079"/>
      <c r="H1853" s="1080"/>
      <c r="I1853" s="1037"/>
    </row>
    <row r="1854" spans="1:9" ht="17.100000000000001" customHeight="1">
      <c r="A1854" s="1394"/>
      <c r="B1854" s="1514"/>
      <c r="C1854" s="2158" t="s">
        <v>647</v>
      </c>
      <c r="D1854" s="2158"/>
      <c r="E1854" s="1079">
        <f>E1855</f>
        <v>0</v>
      </c>
      <c r="F1854" s="1079">
        <f t="shared" ref="F1854:G1854" si="444">F1855</f>
        <v>20000</v>
      </c>
      <c r="G1854" s="1079">
        <f t="shared" si="444"/>
        <v>19500</v>
      </c>
      <c r="H1854" s="1080">
        <f t="shared" si="419"/>
        <v>0.97499999999999998</v>
      </c>
      <c r="I1854" s="1037"/>
    </row>
    <row r="1855" spans="1:9" ht="28.5" customHeight="1">
      <c r="A1855" s="1394"/>
      <c r="B1855" s="1514"/>
      <c r="C1855" s="1552" t="s">
        <v>19</v>
      </c>
      <c r="D1855" s="1553" t="s">
        <v>719</v>
      </c>
      <c r="E1855" s="1079">
        <v>0</v>
      </c>
      <c r="F1855" s="1678">
        <v>20000</v>
      </c>
      <c r="G1855" s="1079">
        <v>19500</v>
      </c>
      <c r="H1855" s="1080">
        <f t="shared" si="419"/>
        <v>0.97499999999999998</v>
      </c>
      <c r="I1855" s="1037"/>
    </row>
    <row r="1856" spans="1:9" ht="17.100000000000001" customHeight="1">
      <c r="A1856" s="1394"/>
      <c r="B1856" s="1514"/>
      <c r="C1856" s="2167"/>
      <c r="D1856" s="2168"/>
      <c r="E1856" s="1079"/>
      <c r="F1856" s="1678"/>
      <c r="G1856" s="1079"/>
      <c r="H1856" s="1080"/>
      <c r="I1856" s="1037"/>
    </row>
    <row r="1857" spans="1:9" ht="17.100000000000001" customHeight="1">
      <c r="A1857" s="1394"/>
      <c r="B1857" s="1514"/>
      <c r="C1857" s="2169" t="s">
        <v>605</v>
      </c>
      <c r="D1857" s="2170"/>
      <c r="E1857" s="1083">
        <f>E1858</f>
        <v>0</v>
      </c>
      <c r="F1857" s="1083">
        <f t="shared" ref="F1857:G1858" si="445">F1858</f>
        <v>60000</v>
      </c>
      <c r="G1857" s="1083">
        <f t="shared" si="445"/>
        <v>49993</v>
      </c>
      <c r="H1857" s="1084">
        <f t="shared" si="419"/>
        <v>0.83321666666666672</v>
      </c>
      <c r="I1857" s="1037"/>
    </row>
    <row r="1858" spans="1:9" ht="17.100000000000001" customHeight="1">
      <c r="A1858" s="1394"/>
      <c r="B1858" s="1514"/>
      <c r="C1858" s="2171" t="s">
        <v>606</v>
      </c>
      <c r="D1858" s="2172"/>
      <c r="E1858" s="1079">
        <f>E1859</f>
        <v>0</v>
      </c>
      <c r="F1858" s="1079">
        <f t="shared" si="445"/>
        <v>60000</v>
      </c>
      <c r="G1858" s="1079">
        <f t="shared" si="445"/>
        <v>49993</v>
      </c>
      <c r="H1858" s="1080">
        <f t="shared" si="419"/>
        <v>0.83321666666666672</v>
      </c>
    </row>
    <row r="1859" spans="1:9" ht="42.75" customHeight="1" thickBot="1">
      <c r="A1859" s="1394"/>
      <c r="B1859" s="1514"/>
      <c r="C1859" s="1552" t="s">
        <v>22</v>
      </c>
      <c r="D1859" s="1553" t="s">
        <v>711</v>
      </c>
      <c r="E1859" s="1089">
        <v>0</v>
      </c>
      <c r="F1859" s="1079">
        <v>60000</v>
      </c>
      <c r="G1859" s="1089">
        <v>49993</v>
      </c>
      <c r="H1859" s="1090">
        <f t="shared" si="419"/>
        <v>0.83321666666666672</v>
      </c>
    </row>
    <row r="1860" spans="1:9" ht="17.100000000000001" customHeight="1" thickBot="1">
      <c r="A1860" s="1051" t="s">
        <v>14</v>
      </c>
      <c r="B1860" s="1052"/>
      <c r="C1860" s="1053"/>
      <c r="D1860" s="1054" t="s">
        <v>946</v>
      </c>
      <c r="E1860" s="1680">
        <f>E1861+E1870+E1879+E1884+E1901+E1906+E1915+E1924+E1934+E1940</f>
        <v>74055613</v>
      </c>
      <c r="F1860" s="1681">
        <f>F1861+F1870+F1879+F1884+F1901+F1906+F1915+F1924+F1934+F1940</f>
        <v>76011192</v>
      </c>
      <c r="G1860" s="1680">
        <f>G1861+G1870+G1879+G1884+G1901+G1906+G1915+G1924+G1934+G1940</f>
        <v>70794661</v>
      </c>
      <c r="H1860" s="1682">
        <f t="shared" si="419"/>
        <v>0.93137154065417105</v>
      </c>
    </row>
    <row r="1861" spans="1:9" ht="17.100000000000001" customHeight="1" thickBot="1">
      <c r="A1861" s="1394"/>
      <c r="B1861" s="1144" t="s">
        <v>140</v>
      </c>
      <c r="C1861" s="1145"/>
      <c r="D1861" s="1146" t="s">
        <v>141</v>
      </c>
      <c r="E1861" s="1147">
        <f t="shared" ref="E1861:G1861" si="446">E1862</f>
        <v>640000</v>
      </c>
      <c r="F1861" s="1147">
        <f t="shared" si="446"/>
        <v>664000</v>
      </c>
      <c r="G1861" s="1147">
        <f t="shared" si="446"/>
        <v>638408</v>
      </c>
      <c r="H1861" s="1148">
        <f t="shared" si="419"/>
        <v>0.96145783132530116</v>
      </c>
    </row>
    <row r="1862" spans="1:9" ht="17.100000000000001" customHeight="1">
      <c r="A1862" s="1394"/>
      <c r="B1862" s="2154"/>
      <c r="C1862" s="2112" t="s">
        <v>560</v>
      </c>
      <c r="D1862" s="2112"/>
      <c r="E1862" s="1063">
        <f>E1863+E1867</f>
        <v>640000</v>
      </c>
      <c r="F1862" s="1063">
        <f t="shared" ref="F1862:G1862" si="447">F1863+F1867</f>
        <v>664000</v>
      </c>
      <c r="G1862" s="1063">
        <f t="shared" si="447"/>
        <v>638408</v>
      </c>
      <c r="H1862" s="1064">
        <f t="shared" si="419"/>
        <v>0.96145783132530116</v>
      </c>
    </row>
    <row r="1863" spans="1:9" ht="17.100000000000001" customHeight="1">
      <c r="A1863" s="1394"/>
      <c r="B1863" s="2154"/>
      <c r="C1863" s="2158" t="s">
        <v>647</v>
      </c>
      <c r="D1863" s="2158"/>
      <c r="E1863" s="1079">
        <f>SUM(E1864:E1865)</f>
        <v>500000</v>
      </c>
      <c r="F1863" s="1079">
        <f t="shared" ref="F1863:G1863" si="448">SUM(F1864:F1865)</f>
        <v>510000</v>
      </c>
      <c r="G1863" s="1079">
        <f t="shared" si="448"/>
        <v>487408</v>
      </c>
      <c r="H1863" s="1080">
        <f t="shared" si="419"/>
        <v>0.95570196078431369</v>
      </c>
    </row>
    <row r="1864" spans="1:9" ht="42" customHeight="1">
      <c r="A1864" s="1394"/>
      <c r="B1864" s="2154"/>
      <c r="C1864" s="1552" t="s">
        <v>125</v>
      </c>
      <c r="D1864" s="1553" t="s">
        <v>656</v>
      </c>
      <c r="E1864" s="1079">
        <v>500000</v>
      </c>
      <c r="F1864" s="1079">
        <v>500000</v>
      </c>
      <c r="G1864" s="1079">
        <v>477408</v>
      </c>
      <c r="H1864" s="1080">
        <f t="shared" si="419"/>
        <v>0.954816</v>
      </c>
    </row>
    <row r="1865" spans="1:9" ht="27" customHeight="1">
      <c r="A1865" s="1394"/>
      <c r="B1865" s="2154"/>
      <c r="C1865" s="1555" t="s">
        <v>19</v>
      </c>
      <c r="D1865" s="1234" t="s">
        <v>691</v>
      </c>
      <c r="E1865" s="1103">
        <v>0</v>
      </c>
      <c r="F1865" s="1103">
        <v>10000</v>
      </c>
      <c r="G1865" s="1103">
        <v>10000</v>
      </c>
      <c r="H1865" s="1080">
        <f t="shared" si="419"/>
        <v>1</v>
      </c>
    </row>
    <row r="1866" spans="1:9" ht="17.100000000000001" customHeight="1">
      <c r="A1866" s="1394"/>
      <c r="B1866" s="2154"/>
      <c r="C1866" s="1098"/>
      <c r="D1866" s="1098"/>
      <c r="E1866" s="1440"/>
      <c r="F1866" s="1440"/>
      <c r="G1866" s="1440"/>
      <c r="H1866" s="1441"/>
    </row>
    <row r="1867" spans="1:9" ht="17.100000000000001" customHeight="1">
      <c r="A1867" s="1394"/>
      <c r="B1867" s="2154"/>
      <c r="C1867" s="2161" t="s">
        <v>602</v>
      </c>
      <c r="D1867" s="2161"/>
      <c r="E1867" s="1079">
        <f t="shared" ref="E1867:G1867" si="449">SUM(E1868:E1869)</f>
        <v>140000</v>
      </c>
      <c r="F1867" s="1079">
        <f t="shared" si="449"/>
        <v>154000</v>
      </c>
      <c r="G1867" s="1079">
        <f t="shared" si="449"/>
        <v>151000</v>
      </c>
      <c r="H1867" s="1080">
        <f t="shared" ref="H1867:H1929" si="450">G1867/F1867</f>
        <v>0.98051948051948057</v>
      </c>
    </row>
    <row r="1868" spans="1:9" ht="17.100000000000001" customHeight="1">
      <c r="A1868" s="1394"/>
      <c r="B1868" s="2154"/>
      <c r="C1868" s="1552" t="s">
        <v>860</v>
      </c>
      <c r="D1868" s="1553" t="s">
        <v>861</v>
      </c>
      <c r="E1868" s="1079">
        <v>120000</v>
      </c>
      <c r="F1868" s="1079">
        <v>127000</v>
      </c>
      <c r="G1868" s="1079">
        <v>124000</v>
      </c>
      <c r="H1868" s="1080">
        <f t="shared" si="450"/>
        <v>0.97637795275590555</v>
      </c>
    </row>
    <row r="1869" spans="1:9" ht="17.100000000000001" customHeight="1" thickBot="1">
      <c r="A1869" s="1394"/>
      <c r="B1869" s="2154"/>
      <c r="C1869" s="1545" t="s">
        <v>871</v>
      </c>
      <c r="D1869" s="1546" t="s">
        <v>872</v>
      </c>
      <c r="E1869" s="1543">
        <v>20000</v>
      </c>
      <c r="F1869" s="1543">
        <v>27000</v>
      </c>
      <c r="G1869" s="1543">
        <v>27000</v>
      </c>
      <c r="H1869" s="1544">
        <f t="shared" si="450"/>
        <v>1</v>
      </c>
    </row>
    <row r="1870" spans="1:9" ht="17.100000000000001" customHeight="1" thickBot="1">
      <c r="A1870" s="1394"/>
      <c r="B1870" s="1144" t="s">
        <v>183</v>
      </c>
      <c r="C1870" s="1145"/>
      <c r="D1870" s="1146" t="s">
        <v>947</v>
      </c>
      <c r="E1870" s="1147">
        <f t="shared" ref="E1870:G1870" si="451">E1871+E1876</f>
        <v>6287000</v>
      </c>
      <c r="F1870" s="1147">
        <f t="shared" si="451"/>
        <v>6976807</v>
      </c>
      <c r="G1870" s="1147">
        <f t="shared" si="451"/>
        <v>6803680</v>
      </c>
      <c r="H1870" s="1148">
        <f t="shared" si="450"/>
        <v>0.97518535341453472</v>
      </c>
    </row>
    <row r="1871" spans="1:9" ht="17.100000000000001" customHeight="1">
      <c r="A1871" s="1394"/>
      <c r="B1871" s="2154"/>
      <c r="C1871" s="2112" t="s">
        <v>560</v>
      </c>
      <c r="D1871" s="2112"/>
      <c r="E1871" s="1063">
        <f t="shared" ref="E1871:G1871" si="452">E1872</f>
        <v>5987000</v>
      </c>
      <c r="F1871" s="1063">
        <f t="shared" si="452"/>
        <v>6450807</v>
      </c>
      <c r="G1871" s="1063">
        <f t="shared" si="452"/>
        <v>6350542</v>
      </c>
      <c r="H1871" s="1064">
        <f t="shared" si="450"/>
        <v>0.98445698344408694</v>
      </c>
    </row>
    <row r="1872" spans="1:9" ht="17.100000000000001" customHeight="1">
      <c r="A1872" s="1394"/>
      <c r="B1872" s="2154"/>
      <c r="C1872" s="2158" t="s">
        <v>647</v>
      </c>
      <c r="D1872" s="2158"/>
      <c r="E1872" s="1079">
        <f>E1873+E1874</f>
        <v>5987000</v>
      </c>
      <c r="F1872" s="1079">
        <f>F1873+F1874</f>
        <v>6450807</v>
      </c>
      <c r="G1872" s="1079">
        <f t="shared" ref="G1872" si="453">G1873+G1874</f>
        <v>6350542</v>
      </c>
      <c r="H1872" s="1080">
        <f t="shared" si="450"/>
        <v>0.98445698344408694</v>
      </c>
    </row>
    <row r="1873" spans="1:8" ht="17.100000000000001" customHeight="1">
      <c r="A1873" s="1394"/>
      <c r="B1873" s="2154"/>
      <c r="C1873" s="1552" t="s">
        <v>32</v>
      </c>
      <c r="D1873" s="1553" t="s">
        <v>948</v>
      </c>
      <c r="E1873" s="1079">
        <v>5337000</v>
      </c>
      <c r="F1873" s="1079">
        <v>5300807</v>
      </c>
      <c r="G1873" s="1079">
        <v>5200542</v>
      </c>
      <c r="H1873" s="1080">
        <f t="shared" si="450"/>
        <v>0.98108495555488062</v>
      </c>
    </row>
    <row r="1874" spans="1:8" ht="27.75" customHeight="1">
      <c r="A1874" s="1394"/>
      <c r="B1874" s="2154"/>
      <c r="C1874" s="1552" t="s">
        <v>30</v>
      </c>
      <c r="D1874" s="1553" t="s">
        <v>949</v>
      </c>
      <c r="E1874" s="1079">
        <v>650000</v>
      </c>
      <c r="F1874" s="1079">
        <v>1150000</v>
      </c>
      <c r="G1874" s="1079">
        <v>1150000</v>
      </c>
      <c r="H1874" s="1080">
        <f t="shared" si="450"/>
        <v>1</v>
      </c>
    </row>
    <row r="1875" spans="1:8">
      <c r="A1875" s="1394"/>
      <c r="B1875" s="1514"/>
      <c r="C1875" s="1552"/>
      <c r="D1875" s="1553"/>
      <c r="E1875" s="1079"/>
      <c r="F1875" s="1079"/>
      <c r="G1875" s="1079"/>
      <c r="H1875" s="1080"/>
    </row>
    <row r="1876" spans="1:8" ht="15">
      <c r="A1876" s="1394"/>
      <c r="B1876" s="1514"/>
      <c r="C1876" s="2159" t="s">
        <v>605</v>
      </c>
      <c r="D1876" s="2160"/>
      <c r="E1876" s="1079">
        <f t="shared" ref="E1876:G1877" si="454">E1877</f>
        <v>300000</v>
      </c>
      <c r="F1876" s="1079">
        <f t="shared" si="454"/>
        <v>526000</v>
      </c>
      <c r="G1876" s="1079">
        <f t="shared" si="454"/>
        <v>453138</v>
      </c>
      <c r="H1876" s="1080">
        <f t="shared" si="450"/>
        <v>0.86147908745247148</v>
      </c>
    </row>
    <row r="1877" spans="1:8" ht="15">
      <c r="A1877" s="1394"/>
      <c r="B1877" s="1514"/>
      <c r="C1877" s="2161" t="s">
        <v>606</v>
      </c>
      <c r="D1877" s="2162"/>
      <c r="E1877" s="1079">
        <f t="shared" si="454"/>
        <v>300000</v>
      </c>
      <c r="F1877" s="1079">
        <f t="shared" si="454"/>
        <v>526000</v>
      </c>
      <c r="G1877" s="1079">
        <f t="shared" si="454"/>
        <v>453138</v>
      </c>
      <c r="H1877" s="1080">
        <f t="shared" si="450"/>
        <v>0.86147908745247148</v>
      </c>
    </row>
    <row r="1878" spans="1:8" ht="27.75" customHeight="1" thickBot="1">
      <c r="A1878" s="1394"/>
      <c r="B1878" s="1514"/>
      <c r="C1878" s="1597" t="s">
        <v>188</v>
      </c>
      <c r="D1878" s="1683" t="s">
        <v>879</v>
      </c>
      <c r="E1878" s="1543">
        <v>300000</v>
      </c>
      <c r="F1878" s="1543">
        <v>526000</v>
      </c>
      <c r="G1878" s="1543">
        <v>453138</v>
      </c>
      <c r="H1878" s="1544">
        <f t="shared" si="450"/>
        <v>0.86147908745247148</v>
      </c>
    </row>
    <row r="1879" spans="1:8" ht="17.100000000000001" customHeight="1" thickBot="1">
      <c r="A1879" s="1394"/>
      <c r="B1879" s="1144" t="s">
        <v>950</v>
      </c>
      <c r="C1879" s="1145"/>
      <c r="D1879" s="1146" t="s">
        <v>29</v>
      </c>
      <c r="E1879" s="1147">
        <f>E1880</f>
        <v>6996500</v>
      </c>
      <c r="F1879" s="1147">
        <f t="shared" ref="F1879:G1879" si="455">F1880</f>
        <v>7679800</v>
      </c>
      <c r="G1879" s="1147">
        <f t="shared" si="455"/>
        <v>7679800</v>
      </c>
      <c r="H1879" s="1148">
        <f t="shared" si="450"/>
        <v>1</v>
      </c>
    </row>
    <row r="1880" spans="1:8" ht="17.100000000000001" customHeight="1">
      <c r="A1880" s="1394"/>
      <c r="B1880" s="2154"/>
      <c r="C1880" s="2112" t="s">
        <v>560</v>
      </c>
      <c r="D1880" s="2112"/>
      <c r="E1880" s="1063">
        <f t="shared" ref="E1880:G1880" si="456">E1881</f>
        <v>6996500</v>
      </c>
      <c r="F1880" s="1063">
        <f t="shared" si="456"/>
        <v>7679800</v>
      </c>
      <c r="G1880" s="1063">
        <f t="shared" si="456"/>
        <v>7679800</v>
      </c>
      <c r="H1880" s="1064">
        <f t="shared" si="450"/>
        <v>1</v>
      </c>
    </row>
    <row r="1881" spans="1:8" ht="17.100000000000001" customHeight="1">
      <c r="A1881" s="1394"/>
      <c r="B1881" s="2154"/>
      <c r="C1881" s="2158" t="s">
        <v>647</v>
      </c>
      <c r="D1881" s="2158"/>
      <c r="E1881" s="1079">
        <f t="shared" ref="E1881:G1881" si="457">SUM(E1882:E1883)</f>
        <v>6996500</v>
      </c>
      <c r="F1881" s="1079">
        <f t="shared" si="457"/>
        <v>7679800</v>
      </c>
      <c r="G1881" s="1079">
        <f t="shared" si="457"/>
        <v>7679800</v>
      </c>
      <c r="H1881" s="1080">
        <f t="shared" si="450"/>
        <v>1</v>
      </c>
    </row>
    <row r="1882" spans="1:8" ht="17.100000000000001" customHeight="1">
      <c r="A1882" s="1394"/>
      <c r="B1882" s="2154"/>
      <c r="C1882" s="1552" t="s">
        <v>32</v>
      </c>
      <c r="D1882" s="1553" t="s">
        <v>948</v>
      </c>
      <c r="E1882" s="1079">
        <v>6446500</v>
      </c>
      <c r="F1882" s="1079">
        <v>6899800</v>
      </c>
      <c r="G1882" s="1079">
        <v>6899800</v>
      </c>
      <c r="H1882" s="1080">
        <f t="shared" si="450"/>
        <v>1</v>
      </c>
    </row>
    <row r="1883" spans="1:8" ht="28.5" customHeight="1" thickBot="1">
      <c r="A1883" s="1394"/>
      <c r="B1883" s="1395"/>
      <c r="C1883" s="1552" t="s">
        <v>30</v>
      </c>
      <c r="D1883" s="1553" t="s">
        <v>949</v>
      </c>
      <c r="E1883" s="1079">
        <v>550000</v>
      </c>
      <c r="F1883" s="1079">
        <v>780000</v>
      </c>
      <c r="G1883" s="1079">
        <v>780000</v>
      </c>
      <c r="H1883" s="1080">
        <f t="shared" si="450"/>
        <v>1</v>
      </c>
    </row>
    <row r="1884" spans="1:8" ht="17.100000000000001" customHeight="1" thickBot="1">
      <c r="A1884" s="1394"/>
      <c r="B1884" s="1144" t="s">
        <v>951</v>
      </c>
      <c r="C1884" s="1145"/>
      <c r="D1884" s="1146" t="s">
        <v>89</v>
      </c>
      <c r="E1884" s="1147">
        <f>E1885+E1891</f>
        <v>8228726</v>
      </c>
      <c r="F1884" s="1147">
        <f>F1885+F1891</f>
        <v>9981614</v>
      </c>
      <c r="G1884" s="1147">
        <f t="shared" ref="G1884" si="458">G1885+G1891</f>
        <v>9901758</v>
      </c>
      <c r="H1884" s="1148">
        <f t="shared" si="450"/>
        <v>0.99199969063119453</v>
      </c>
    </row>
    <row r="1885" spans="1:8" ht="17.100000000000001" customHeight="1">
      <c r="A1885" s="1394"/>
      <c r="B1885" s="2154"/>
      <c r="C1885" s="2112" t="s">
        <v>560</v>
      </c>
      <c r="D1885" s="2112"/>
      <c r="E1885" s="1063">
        <f t="shared" ref="E1885:G1885" si="459">E1886</f>
        <v>7048500</v>
      </c>
      <c r="F1885" s="1063">
        <f t="shared" si="459"/>
        <v>7948708</v>
      </c>
      <c r="G1885" s="1063">
        <f t="shared" si="459"/>
        <v>7938367</v>
      </c>
      <c r="H1885" s="1064">
        <f t="shared" si="450"/>
        <v>0.99869903385556491</v>
      </c>
    </row>
    <row r="1886" spans="1:8" ht="17.100000000000001" customHeight="1">
      <c r="A1886" s="1394"/>
      <c r="B1886" s="2154"/>
      <c r="C1886" s="2158" t="s">
        <v>647</v>
      </c>
      <c r="D1886" s="2158"/>
      <c r="E1886" s="1079">
        <f>SUM(E1887:E1889)</f>
        <v>7048500</v>
      </c>
      <c r="F1886" s="1079">
        <f>SUM(F1887:F1889)</f>
        <v>7948708</v>
      </c>
      <c r="G1886" s="1079">
        <f t="shared" ref="G1886" si="460">SUM(G1887:G1889)</f>
        <v>7938367</v>
      </c>
      <c r="H1886" s="1080">
        <f t="shared" si="450"/>
        <v>0.99869903385556491</v>
      </c>
    </row>
    <row r="1887" spans="1:8" ht="17.100000000000001" customHeight="1">
      <c r="A1887" s="1394"/>
      <c r="B1887" s="2154"/>
      <c r="C1887" s="1552" t="s">
        <v>32</v>
      </c>
      <c r="D1887" s="1553" t="s">
        <v>948</v>
      </c>
      <c r="E1887" s="1079">
        <v>6664500</v>
      </c>
      <c r="F1887" s="1079">
        <v>7274650</v>
      </c>
      <c r="G1887" s="1079">
        <v>7274650</v>
      </c>
      <c r="H1887" s="1080">
        <f t="shared" si="450"/>
        <v>1</v>
      </c>
    </row>
    <row r="1888" spans="1:8" ht="30.75" customHeight="1">
      <c r="A1888" s="1394"/>
      <c r="B1888" s="2154"/>
      <c r="C1888" s="1552" t="s">
        <v>19</v>
      </c>
      <c r="D1888" s="1553" t="s">
        <v>719</v>
      </c>
      <c r="E1888" s="1079">
        <v>0</v>
      </c>
      <c r="F1888" s="1079">
        <v>58800</v>
      </c>
      <c r="G1888" s="1079">
        <v>48689</v>
      </c>
      <c r="H1888" s="1080">
        <f t="shared" si="450"/>
        <v>0.82804421768707481</v>
      </c>
    </row>
    <row r="1889" spans="1:8" ht="24.75" customHeight="1">
      <c r="A1889" s="1394"/>
      <c r="B1889" s="2154"/>
      <c r="C1889" s="1552" t="s">
        <v>30</v>
      </c>
      <c r="D1889" s="1553" t="s">
        <v>949</v>
      </c>
      <c r="E1889" s="1079">
        <v>384000</v>
      </c>
      <c r="F1889" s="1079">
        <v>615258</v>
      </c>
      <c r="G1889" s="1079">
        <v>615028</v>
      </c>
      <c r="H1889" s="1080">
        <f t="shared" si="450"/>
        <v>0.99962617308511226</v>
      </c>
    </row>
    <row r="1890" spans="1:8" ht="15">
      <c r="A1890" s="1394"/>
      <c r="B1890" s="2154"/>
      <c r="C1890" s="1098"/>
      <c r="D1890" s="1117"/>
      <c r="E1890" s="1447"/>
      <c r="F1890" s="1447"/>
      <c r="G1890" s="1447"/>
      <c r="H1890" s="1448"/>
    </row>
    <row r="1891" spans="1:8" ht="15">
      <c r="A1891" s="1394"/>
      <c r="B1891" s="2154"/>
      <c r="C1891" s="2159" t="s">
        <v>605</v>
      </c>
      <c r="D1891" s="2160"/>
      <c r="E1891" s="1083">
        <f>SUM(E1892)</f>
        <v>1180226</v>
      </c>
      <c r="F1891" s="1083">
        <f>SUM(F1892)</f>
        <v>2032906</v>
      </c>
      <c r="G1891" s="1083">
        <f t="shared" ref="G1891" si="461">SUM(G1892)</f>
        <v>1963391</v>
      </c>
      <c r="H1891" s="1084">
        <f t="shared" si="450"/>
        <v>0.96580510854904256</v>
      </c>
    </row>
    <row r="1892" spans="1:8" ht="15">
      <c r="A1892" s="1394"/>
      <c r="B1892" s="2154"/>
      <c r="C1892" s="2161" t="s">
        <v>606</v>
      </c>
      <c r="D1892" s="2162"/>
      <c r="E1892" s="1079">
        <f>SUM(E1893:E1896)</f>
        <v>1180226</v>
      </c>
      <c r="F1892" s="1079">
        <f>SUM(F1893:F1896)</f>
        <v>2032906</v>
      </c>
      <c r="G1892" s="1079">
        <f>SUM(G1893:G1896)</f>
        <v>1963391</v>
      </c>
      <c r="H1892" s="1080">
        <f t="shared" si="450"/>
        <v>0.96580510854904256</v>
      </c>
    </row>
    <row r="1893" spans="1:8" ht="38.25">
      <c r="A1893" s="1394"/>
      <c r="B1893" s="2154"/>
      <c r="C1893" s="1581" t="s">
        <v>188</v>
      </c>
      <c r="D1893" s="1684" t="s">
        <v>879</v>
      </c>
      <c r="E1893" s="1079">
        <v>1180226</v>
      </c>
      <c r="F1893" s="1079">
        <v>1849142</v>
      </c>
      <c r="G1893" s="1079">
        <f>1779628+32595</f>
        <v>1812223</v>
      </c>
      <c r="H1893" s="1080">
        <f t="shared" si="450"/>
        <v>0.98003452411983505</v>
      </c>
    </row>
    <row r="1894" spans="1:8" ht="31.5" customHeight="1">
      <c r="A1894" s="1394"/>
      <c r="B1894" s="1514"/>
      <c r="C1894" s="1273" t="s">
        <v>952</v>
      </c>
      <c r="D1894" s="1685" t="s">
        <v>879</v>
      </c>
      <c r="E1894" s="1103">
        <v>0</v>
      </c>
      <c r="F1894" s="1103">
        <v>128535</v>
      </c>
      <c r="G1894" s="1103">
        <v>95940</v>
      </c>
      <c r="H1894" s="1080">
        <f t="shared" si="450"/>
        <v>0.74641148325358853</v>
      </c>
    </row>
    <row r="1895" spans="1:8" ht="40.5" customHeight="1">
      <c r="A1895" s="1394"/>
      <c r="B1895" s="1514"/>
      <c r="C1895" s="1266" t="s">
        <v>22</v>
      </c>
      <c r="D1895" s="1527" t="s">
        <v>711</v>
      </c>
      <c r="E1895" s="1483">
        <v>0</v>
      </c>
      <c r="F1895" s="1483">
        <v>47000</v>
      </c>
      <c r="G1895" s="1483">
        <v>47000</v>
      </c>
      <c r="H1895" s="1485">
        <f t="shared" si="450"/>
        <v>1</v>
      </c>
    </row>
    <row r="1896" spans="1:8" ht="17.25" customHeight="1">
      <c r="A1896" s="1394"/>
      <c r="B1896" s="1514"/>
      <c r="C1896" s="1686" t="s">
        <v>349</v>
      </c>
      <c r="D1896" s="1687" t="s">
        <v>953</v>
      </c>
      <c r="E1896" s="1543">
        <v>0</v>
      </c>
      <c r="F1896" s="1543">
        <v>8229</v>
      </c>
      <c r="G1896" s="1543">
        <v>8228</v>
      </c>
      <c r="H1896" s="1544">
        <f t="shared" si="450"/>
        <v>0.99987847855146428</v>
      </c>
    </row>
    <row r="1897" spans="1:8">
      <c r="A1897" s="1394"/>
      <c r="B1897" s="1514"/>
      <c r="C1897" s="1686"/>
      <c r="D1897" s="1688"/>
      <c r="E1897" s="1543"/>
      <c r="F1897" s="1543"/>
      <c r="G1897" s="1543"/>
      <c r="H1897" s="1544"/>
    </row>
    <row r="1898" spans="1:8" ht="15.75" customHeight="1">
      <c r="A1898" s="1394"/>
      <c r="B1898" s="1514"/>
      <c r="C1898" s="2163" t="s">
        <v>614</v>
      </c>
      <c r="D1898" s="2164"/>
      <c r="E1898" s="1079">
        <f>E1900+E1899</f>
        <v>0</v>
      </c>
      <c r="F1898" s="1079">
        <f t="shared" ref="F1898:G1898" si="462">F1900+F1899</f>
        <v>429328</v>
      </c>
      <c r="G1898" s="1079">
        <f t="shared" si="462"/>
        <v>394640</v>
      </c>
      <c r="H1898" s="1190">
        <f t="shared" si="450"/>
        <v>0.91920396526664927</v>
      </c>
    </row>
    <row r="1899" spans="1:8" ht="30.75" customHeight="1">
      <c r="A1899" s="1394"/>
      <c r="B1899" s="1514"/>
      <c r="C1899" s="1593" t="s">
        <v>188</v>
      </c>
      <c r="D1899" s="1346" t="s">
        <v>879</v>
      </c>
      <c r="E1899" s="1189">
        <v>0</v>
      </c>
      <c r="F1899" s="1189">
        <v>300793</v>
      </c>
      <c r="G1899" s="1689">
        <v>298700</v>
      </c>
      <c r="H1899" s="1190">
        <f t="shared" si="450"/>
        <v>0.99304172636996202</v>
      </c>
    </row>
    <row r="1900" spans="1:8" ht="39" thickBot="1">
      <c r="A1900" s="1394"/>
      <c r="B1900" s="1514"/>
      <c r="C1900" s="1690" t="s">
        <v>952</v>
      </c>
      <c r="D1900" s="1691" t="s">
        <v>879</v>
      </c>
      <c r="E1900" s="1089">
        <v>0</v>
      </c>
      <c r="F1900" s="1089">
        <v>128535</v>
      </c>
      <c r="G1900" s="1270">
        <v>95940</v>
      </c>
      <c r="H1900" s="1090">
        <f t="shared" si="450"/>
        <v>0.74641148325358853</v>
      </c>
    </row>
    <row r="1901" spans="1:8" ht="17.100000000000001" customHeight="1" thickBot="1">
      <c r="A1901" s="1394"/>
      <c r="B1901" s="1144" t="s">
        <v>954</v>
      </c>
      <c r="C1901" s="1145"/>
      <c r="D1901" s="1146" t="s">
        <v>955</v>
      </c>
      <c r="E1901" s="1147">
        <f t="shared" ref="E1901:G1902" si="463">E1902</f>
        <v>616000</v>
      </c>
      <c r="F1901" s="1147">
        <f t="shared" si="463"/>
        <v>626500</v>
      </c>
      <c r="G1901" s="1147">
        <f t="shared" si="463"/>
        <v>626500</v>
      </c>
      <c r="H1901" s="1148">
        <f t="shared" si="450"/>
        <v>1</v>
      </c>
    </row>
    <row r="1902" spans="1:8" ht="17.100000000000001" customHeight="1">
      <c r="A1902" s="1394"/>
      <c r="B1902" s="2154"/>
      <c r="C1902" s="2112" t="s">
        <v>560</v>
      </c>
      <c r="D1902" s="2112"/>
      <c r="E1902" s="1063">
        <f t="shared" si="463"/>
        <v>616000</v>
      </c>
      <c r="F1902" s="1063">
        <f t="shared" si="463"/>
        <v>626500</v>
      </c>
      <c r="G1902" s="1063">
        <f t="shared" si="463"/>
        <v>626500</v>
      </c>
      <c r="H1902" s="1064">
        <f t="shared" si="450"/>
        <v>1</v>
      </c>
    </row>
    <row r="1903" spans="1:8" ht="17.100000000000001" customHeight="1">
      <c r="A1903" s="1394"/>
      <c r="B1903" s="2154"/>
      <c r="C1903" s="2142" t="s">
        <v>647</v>
      </c>
      <c r="D1903" s="2142"/>
      <c r="E1903" s="1079">
        <f t="shared" ref="E1903:G1903" si="464">E1904+E1905</f>
        <v>616000</v>
      </c>
      <c r="F1903" s="1079">
        <f t="shared" si="464"/>
        <v>626500</v>
      </c>
      <c r="G1903" s="1079">
        <f t="shared" si="464"/>
        <v>626500</v>
      </c>
      <c r="H1903" s="1080">
        <f t="shared" si="450"/>
        <v>1</v>
      </c>
    </row>
    <row r="1904" spans="1:8" ht="17.100000000000001" customHeight="1">
      <c r="A1904" s="1394"/>
      <c r="B1904" s="2154"/>
      <c r="C1904" s="1692" t="s">
        <v>32</v>
      </c>
      <c r="D1904" s="1693" t="s">
        <v>948</v>
      </c>
      <c r="E1904" s="1079">
        <v>556000</v>
      </c>
      <c r="F1904" s="1079">
        <v>558500</v>
      </c>
      <c r="G1904" s="1079">
        <v>558500</v>
      </c>
      <c r="H1904" s="1080">
        <f t="shared" si="450"/>
        <v>1</v>
      </c>
    </row>
    <row r="1905" spans="1:8" ht="27" customHeight="1" thickBot="1">
      <c r="A1905" s="1394"/>
      <c r="B1905" s="2154"/>
      <c r="C1905" s="1694" t="s">
        <v>30</v>
      </c>
      <c r="D1905" s="1695" t="s">
        <v>949</v>
      </c>
      <c r="E1905" s="1696">
        <v>60000</v>
      </c>
      <c r="F1905" s="1696">
        <v>68000</v>
      </c>
      <c r="G1905" s="1696">
        <v>68000</v>
      </c>
      <c r="H1905" s="1697">
        <f t="shared" si="450"/>
        <v>1</v>
      </c>
    </row>
    <row r="1906" spans="1:8" ht="17.100000000000001" customHeight="1" thickBot="1">
      <c r="A1906" s="1394"/>
      <c r="B1906" s="1144" t="s">
        <v>956</v>
      </c>
      <c r="C1906" s="1145"/>
      <c r="D1906" s="1146" t="s">
        <v>536</v>
      </c>
      <c r="E1906" s="1147">
        <f t="shared" ref="E1906:G1906" si="465">E1907+E1912</f>
        <v>2186576</v>
      </c>
      <c r="F1906" s="1147">
        <f t="shared" si="465"/>
        <v>2442133</v>
      </c>
      <c r="G1906" s="1147">
        <f t="shared" si="465"/>
        <v>2043885</v>
      </c>
      <c r="H1906" s="1148">
        <f t="shared" si="450"/>
        <v>0.83692616249811125</v>
      </c>
    </row>
    <row r="1907" spans="1:8" ht="17.100000000000001" customHeight="1">
      <c r="A1907" s="1394"/>
      <c r="B1907" s="2155"/>
      <c r="C1907" s="2157" t="s">
        <v>560</v>
      </c>
      <c r="D1907" s="2157"/>
      <c r="E1907" s="1511">
        <f t="shared" ref="E1907:G1907" si="466">E1908</f>
        <v>1539476</v>
      </c>
      <c r="F1907" s="1511">
        <f t="shared" si="466"/>
        <v>1804093</v>
      </c>
      <c r="G1907" s="1511">
        <f t="shared" si="466"/>
        <v>1804093</v>
      </c>
      <c r="H1907" s="1512">
        <f t="shared" si="450"/>
        <v>1</v>
      </c>
    </row>
    <row r="1908" spans="1:8" ht="17.100000000000001" customHeight="1">
      <c r="A1908" s="1394"/>
      <c r="B1908" s="2154"/>
      <c r="C1908" s="2142" t="s">
        <v>647</v>
      </c>
      <c r="D1908" s="2142"/>
      <c r="E1908" s="1079">
        <f t="shared" ref="E1908:G1908" si="467">SUM(E1909:E1910)</f>
        <v>1539476</v>
      </c>
      <c r="F1908" s="1079">
        <f t="shared" si="467"/>
        <v>1804093</v>
      </c>
      <c r="G1908" s="1079">
        <f t="shared" si="467"/>
        <v>1804093</v>
      </c>
      <c r="H1908" s="1080">
        <f t="shared" si="450"/>
        <v>1</v>
      </c>
    </row>
    <row r="1909" spans="1:8" ht="17.100000000000001" customHeight="1">
      <c r="A1909" s="1394"/>
      <c r="B1909" s="2154"/>
      <c r="C1909" s="1692" t="s">
        <v>32</v>
      </c>
      <c r="D1909" s="1693" t="s">
        <v>948</v>
      </c>
      <c r="E1909" s="1079">
        <v>1510000</v>
      </c>
      <c r="F1909" s="1079">
        <v>1690000</v>
      </c>
      <c r="G1909" s="1079">
        <v>1690000</v>
      </c>
      <c r="H1909" s="1080">
        <f t="shared" si="450"/>
        <v>1</v>
      </c>
    </row>
    <row r="1910" spans="1:8" ht="25.5">
      <c r="A1910" s="1394"/>
      <c r="B1910" s="2154"/>
      <c r="C1910" s="1694" t="s">
        <v>30</v>
      </c>
      <c r="D1910" s="1695" t="s">
        <v>949</v>
      </c>
      <c r="E1910" s="1696">
        <v>29476</v>
      </c>
      <c r="F1910" s="1696">
        <v>114093</v>
      </c>
      <c r="G1910" s="1696">
        <v>114093</v>
      </c>
      <c r="H1910" s="1697">
        <f t="shared" si="450"/>
        <v>1</v>
      </c>
    </row>
    <row r="1911" spans="1:8">
      <c r="A1911" s="1394"/>
      <c r="B1911" s="2154"/>
      <c r="C1911" s="1571"/>
      <c r="D1911" s="1698"/>
      <c r="E1911" s="1231"/>
      <c r="F1911" s="1231"/>
      <c r="G1911" s="1231"/>
      <c r="H1911" s="1232"/>
    </row>
    <row r="1912" spans="1:8" ht="16.5" customHeight="1">
      <c r="A1912" s="1394"/>
      <c r="B1912" s="2154"/>
      <c r="C1912" s="2148" t="s">
        <v>605</v>
      </c>
      <c r="D1912" s="2148"/>
      <c r="E1912" s="1063">
        <f t="shared" ref="E1912:G1913" si="468">E1913</f>
        <v>647100</v>
      </c>
      <c r="F1912" s="1063">
        <f t="shared" si="468"/>
        <v>638040</v>
      </c>
      <c r="G1912" s="1063">
        <f t="shared" si="468"/>
        <v>239792</v>
      </c>
      <c r="H1912" s="1064">
        <f t="shared" si="450"/>
        <v>0.37582596702401105</v>
      </c>
    </row>
    <row r="1913" spans="1:8" ht="15.75" customHeight="1">
      <c r="A1913" s="1394"/>
      <c r="B1913" s="2154"/>
      <c r="C1913" s="2126" t="s">
        <v>710</v>
      </c>
      <c r="D1913" s="2126"/>
      <c r="E1913" s="1079">
        <f t="shared" si="468"/>
        <v>647100</v>
      </c>
      <c r="F1913" s="1079">
        <f t="shared" si="468"/>
        <v>638040</v>
      </c>
      <c r="G1913" s="1079">
        <f t="shared" si="468"/>
        <v>239792</v>
      </c>
      <c r="H1913" s="1080">
        <f t="shared" si="450"/>
        <v>0.37582596702401105</v>
      </c>
    </row>
    <row r="1914" spans="1:8" ht="33.75" customHeight="1" thickBot="1">
      <c r="A1914" s="1394"/>
      <c r="B1914" s="2156"/>
      <c r="C1914" s="1699" t="s">
        <v>188</v>
      </c>
      <c r="D1914" s="1700" t="s">
        <v>879</v>
      </c>
      <c r="E1914" s="1089">
        <v>647100</v>
      </c>
      <c r="F1914" s="1089">
        <v>638040</v>
      </c>
      <c r="G1914" s="1089">
        <v>239792</v>
      </c>
      <c r="H1914" s="1090">
        <f t="shared" si="450"/>
        <v>0.37582596702401105</v>
      </c>
    </row>
    <row r="1915" spans="1:8" ht="17.100000000000001" customHeight="1" thickBot="1">
      <c r="A1915" s="1394"/>
      <c r="B1915" s="1144" t="s">
        <v>957</v>
      </c>
      <c r="C1915" s="1145"/>
      <c r="D1915" s="1146" t="s">
        <v>31</v>
      </c>
      <c r="E1915" s="1147">
        <f>SUM(E1916+E1921)</f>
        <v>7812306</v>
      </c>
      <c r="F1915" s="1147">
        <f t="shared" ref="F1915:G1915" si="469">SUM(F1916+F1921)</f>
        <v>9137963</v>
      </c>
      <c r="G1915" s="1147">
        <f t="shared" si="469"/>
        <v>9136326</v>
      </c>
      <c r="H1915" s="1148">
        <f t="shared" si="450"/>
        <v>0.99982085723043523</v>
      </c>
    </row>
    <row r="1916" spans="1:8" ht="17.100000000000001" customHeight="1">
      <c r="A1916" s="1394"/>
      <c r="B1916" s="2154"/>
      <c r="C1916" s="2112" t="s">
        <v>560</v>
      </c>
      <c r="D1916" s="2112"/>
      <c r="E1916" s="1063">
        <f t="shared" ref="E1916:G1916" si="470">E1917</f>
        <v>7604016</v>
      </c>
      <c r="F1916" s="1063">
        <f t="shared" si="470"/>
        <v>8929673</v>
      </c>
      <c r="G1916" s="1063">
        <f t="shared" si="470"/>
        <v>8929669</v>
      </c>
      <c r="H1916" s="1064">
        <f t="shared" si="450"/>
        <v>0.99999955205526558</v>
      </c>
    </row>
    <row r="1917" spans="1:8" ht="17.100000000000001" customHeight="1">
      <c r="A1917" s="1394"/>
      <c r="B1917" s="2154"/>
      <c r="C1917" s="2142" t="s">
        <v>647</v>
      </c>
      <c r="D1917" s="2142"/>
      <c r="E1917" s="1079">
        <f t="shared" ref="E1917:G1917" si="471">SUM(E1918:E1919)</f>
        <v>7604016</v>
      </c>
      <c r="F1917" s="1079">
        <f t="shared" si="471"/>
        <v>8929673</v>
      </c>
      <c r="G1917" s="1079">
        <f t="shared" si="471"/>
        <v>8929669</v>
      </c>
      <c r="H1917" s="1080">
        <f t="shared" si="450"/>
        <v>0.99999955205526558</v>
      </c>
    </row>
    <row r="1918" spans="1:8" ht="17.100000000000001" customHeight="1">
      <c r="A1918" s="1394"/>
      <c r="B1918" s="2154"/>
      <c r="C1918" s="1692" t="s">
        <v>32</v>
      </c>
      <c r="D1918" s="1693" t="s">
        <v>948</v>
      </c>
      <c r="E1918" s="1079">
        <v>7501016</v>
      </c>
      <c r="F1918" s="1079">
        <v>8635460</v>
      </c>
      <c r="G1918" s="1079">
        <v>8635456</v>
      </c>
      <c r="H1918" s="1080">
        <f t="shared" si="450"/>
        <v>0.99999953679363929</v>
      </c>
    </row>
    <row r="1919" spans="1:8" ht="25.5">
      <c r="A1919" s="1394"/>
      <c r="B1919" s="2154"/>
      <c r="C1919" s="1694" t="s">
        <v>30</v>
      </c>
      <c r="D1919" s="1695" t="s">
        <v>949</v>
      </c>
      <c r="E1919" s="1696">
        <v>103000</v>
      </c>
      <c r="F1919" s="1696">
        <v>294213</v>
      </c>
      <c r="G1919" s="1696">
        <v>294213</v>
      </c>
      <c r="H1919" s="1697">
        <f t="shared" si="450"/>
        <v>1</v>
      </c>
    </row>
    <row r="1920" spans="1:8">
      <c r="A1920" s="1394"/>
      <c r="B1920" s="1514"/>
      <c r="C1920" s="2138"/>
      <c r="D1920" s="2139"/>
      <c r="E1920" s="1701"/>
      <c r="F1920" s="1701"/>
      <c r="G1920" s="1701"/>
      <c r="H1920" s="1702"/>
    </row>
    <row r="1921" spans="1:9">
      <c r="A1921" s="1394"/>
      <c r="B1921" s="1514"/>
      <c r="C1921" s="2148" t="s">
        <v>605</v>
      </c>
      <c r="D1921" s="2148"/>
      <c r="E1921" s="1063">
        <f>E1922</f>
        <v>208290</v>
      </c>
      <c r="F1921" s="1063">
        <f t="shared" ref="F1921:G1921" si="472">F1922</f>
        <v>208290</v>
      </c>
      <c r="G1921" s="1063">
        <f t="shared" si="472"/>
        <v>206657</v>
      </c>
      <c r="H1921" s="1064">
        <f t="shared" si="450"/>
        <v>0.99215996927360894</v>
      </c>
    </row>
    <row r="1922" spans="1:9">
      <c r="A1922" s="1394"/>
      <c r="B1922" s="1514"/>
      <c r="C1922" s="2126" t="s">
        <v>710</v>
      </c>
      <c r="D1922" s="2126"/>
      <c r="E1922" s="1079">
        <f t="shared" ref="E1922:G1922" si="473">E1923</f>
        <v>208290</v>
      </c>
      <c r="F1922" s="1079">
        <f t="shared" si="473"/>
        <v>208290</v>
      </c>
      <c r="G1922" s="1079">
        <f t="shared" si="473"/>
        <v>206657</v>
      </c>
      <c r="H1922" s="1080">
        <f t="shared" si="450"/>
        <v>0.99215996927360894</v>
      </c>
    </row>
    <row r="1923" spans="1:9" ht="39" thickBot="1">
      <c r="A1923" s="1394"/>
      <c r="B1923" s="1514"/>
      <c r="C1923" s="1694" t="s">
        <v>188</v>
      </c>
      <c r="D1923" s="1695" t="s">
        <v>879</v>
      </c>
      <c r="E1923" s="1696">
        <v>208290</v>
      </c>
      <c r="F1923" s="1696">
        <v>208290</v>
      </c>
      <c r="G1923" s="1696">
        <v>206657</v>
      </c>
      <c r="H1923" s="1697">
        <f t="shared" si="450"/>
        <v>0.99215996927360894</v>
      </c>
    </row>
    <row r="1924" spans="1:9" ht="17.100000000000001" customHeight="1" thickBot="1">
      <c r="A1924" s="1394"/>
      <c r="B1924" s="1144" t="s">
        <v>958</v>
      </c>
      <c r="C1924" s="1145"/>
      <c r="D1924" s="1146" t="s">
        <v>90</v>
      </c>
      <c r="E1924" s="1147">
        <f t="shared" ref="E1924:G1924" si="474">E1925+E1931</f>
        <v>30477474</v>
      </c>
      <c r="F1924" s="1147">
        <f t="shared" si="474"/>
        <v>32817035</v>
      </c>
      <c r="G1924" s="1147">
        <f t="shared" si="474"/>
        <v>28617027</v>
      </c>
      <c r="H1924" s="1148">
        <f t="shared" si="450"/>
        <v>0.87201744459851416</v>
      </c>
    </row>
    <row r="1925" spans="1:9" ht="17.100000000000001" customHeight="1">
      <c r="A1925" s="1394"/>
      <c r="B1925" s="2154"/>
      <c r="C1925" s="2112" t="s">
        <v>560</v>
      </c>
      <c r="D1925" s="2112"/>
      <c r="E1925" s="1063">
        <f t="shared" ref="E1925:G1925" si="475">E1926</f>
        <v>26209297</v>
      </c>
      <c r="F1925" s="1063">
        <f t="shared" si="475"/>
        <v>24449821</v>
      </c>
      <c r="G1925" s="1063">
        <f t="shared" si="475"/>
        <v>23993411</v>
      </c>
      <c r="H1925" s="1064">
        <f t="shared" si="450"/>
        <v>0.98133278767153342</v>
      </c>
    </row>
    <row r="1926" spans="1:9" ht="17.100000000000001" customHeight="1">
      <c r="A1926" s="1394"/>
      <c r="B1926" s="2154"/>
      <c r="C1926" s="2142" t="s">
        <v>647</v>
      </c>
      <c r="D1926" s="2142"/>
      <c r="E1926" s="1079">
        <f t="shared" ref="E1926:G1926" si="476">SUM(E1927:E1929)</f>
        <v>26209297</v>
      </c>
      <c r="F1926" s="1079">
        <f t="shared" si="476"/>
        <v>24449821</v>
      </c>
      <c r="G1926" s="1079">
        <f t="shared" si="476"/>
        <v>23993411</v>
      </c>
      <c r="H1926" s="1080">
        <f t="shared" si="450"/>
        <v>0.98133278767153342</v>
      </c>
    </row>
    <row r="1927" spans="1:9" ht="17.100000000000001" customHeight="1">
      <c r="A1927" s="1394"/>
      <c r="B1927" s="2154"/>
      <c r="C1927" s="1692" t="s">
        <v>32</v>
      </c>
      <c r="D1927" s="1693" t="s">
        <v>948</v>
      </c>
      <c r="E1927" s="1079">
        <v>22182598</v>
      </c>
      <c r="F1927" s="1079">
        <v>22781041</v>
      </c>
      <c r="G1927" s="1079">
        <v>22640650</v>
      </c>
      <c r="H1927" s="1080">
        <f t="shared" si="450"/>
        <v>0.99383737556154694</v>
      </c>
    </row>
    <row r="1928" spans="1:9" ht="29.25" customHeight="1">
      <c r="A1928" s="1394"/>
      <c r="B1928" s="1514"/>
      <c r="C1928" s="1692" t="s">
        <v>19</v>
      </c>
      <c r="D1928" s="1693" t="s">
        <v>719</v>
      </c>
      <c r="E1928" s="1079">
        <f>500000+100000</f>
        <v>600000</v>
      </c>
      <c r="F1928" s="1079">
        <v>700000</v>
      </c>
      <c r="G1928" s="1079">
        <v>700000</v>
      </c>
      <c r="H1928" s="1080">
        <f t="shared" si="450"/>
        <v>1</v>
      </c>
    </row>
    <row r="1929" spans="1:9" ht="24.75" customHeight="1">
      <c r="A1929" s="1394"/>
      <c r="B1929" s="1395"/>
      <c r="C1929" s="1692" t="s">
        <v>30</v>
      </c>
      <c r="D1929" s="1693" t="s">
        <v>949</v>
      </c>
      <c r="E1929" s="1079">
        <v>3426699</v>
      </c>
      <c r="F1929" s="1079">
        <v>968780</v>
      </c>
      <c r="G1929" s="1079">
        <v>652761</v>
      </c>
      <c r="H1929" s="1080">
        <f t="shared" si="450"/>
        <v>0.67379694048184313</v>
      </c>
    </row>
    <row r="1930" spans="1:9" ht="17.100000000000001" customHeight="1">
      <c r="A1930" s="1394"/>
      <c r="B1930" s="1395"/>
      <c r="C1930" s="1098"/>
      <c r="D1930" s="1098"/>
      <c r="E1930" s="1440"/>
      <c r="F1930" s="1440"/>
      <c r="G1930" s="1440"/>
      <c r="H1930" s="1441"/>
    </row>
    <row r="1931" spans="1:9" ht="17.100000000000001" customHeight="1">
      <c r="A1931" s="1394"/>
      <c r="B1931" s="1395"/>
      <c r="C1931" s="2149" t="s">
        <v>605</v>
      </c>
      <c r="D1931" s="2149"/>
      <c r="E1931" s="1083">
        <f t="shared" ref="E1931:G1932" si="477">E1932</f>
        <v>4268177</v>
      </c>
      <c r="F1931" s="1083">
        <f t="shared" si="477"/>
        <v>8367214</v>
      </c>
      <c r="G1931" s="1083">
        <f t="shared" si="477"/>
        <v>4623616</v>
      </c>
      <c r="H1931" s="1084">
        <f t="shared" ref="H1931:H1994" si="478">G1931/F1931</f>
        <v>0.55258727695981003</v>
      </c>
    </row>
    <row r="1932" spans="1:9" ht="17.100000000000001" customHeight="1">
      <c r="A1932" s="1394"/>
      <c r="B1932" s="1395"/>
      <c r="C1932" s="2126" t="s">
        <v>606</v>
      </c>
      <c r="D1932" s="2126"/>
      <c r="E1932" s="1079">
        <f t="shared" si="477"/>
        <v>4268177</v>
      </c>
      <c r="F1932" s="1079">
        <f t="shared" si="477"/>
        <v>8367214</v>
      </c>
      <c r="G1932" s="1079">
        <f t="shared" si="477"/>
        <v>4623616</v>
      </c>
      <c r="H1932" s="1080">
        <f t="shared" si="478"/>
        <v>0.55258727695981003</v>
      </c>
    </row>
    <row r="1933" spans="1:9" ht="27.75" customHeight="1" thickBot="1">
      <c r="A1933" s="1394"/>
      <c r="B1933" s="1395"/>
      <c r="C1933" s="1694" t="s">
        <v>188</v>
      </c>
      <c r="D1933" s="1695" t="s">
        <v>879</v>
      </c>
      <c r="E1933" s="1696">
        <f>2317506+1950671</f>
        <v>4268177</v>
      </c>
      <c r="F1933" s="1696">
        <v>8367214</v>
      </c>
      <c r="G1933" s="1696">
        <v>4623616</v>
      </c>
      <c r="H1933" s="1697">
        <f t="shared" si="478"/>
        <v>0.55258727695981003</v>
      </c>
    </row>
    <row r="1934" spans="1:9" ht="17.100000000000001" customHeight="1" thickBot="1">
      <c r="A1934" s="1394"/>
      <c r="B1934" s="1144" t="s">
        <v>959</v>
      </c>
      <c r="C1934" s="1145"/>
      <c r="D1934" s="1146" t="s">
        <v>205</v>
      </c>
      <c r="E1934" s="1147">
        <f t="shared" ref="E1934:G1934" si="479">SUM(E1935)</f>
        <v>4000000</v>
      </c>
      <c r="F1934" s="1147">
        <f t="shared" si="479"/>
        <v>4827060</v>
      </c>
      <c r="G1934" s="1147">
        <f t="shared" si="479"/>
        <v>4795060</v>
      </c>
      <c r="H1934" s="1148">
        <f t="shared" si="478"/>
        <v>0.99337070597838018</v>
      </c>
    </row>
    <row r="1935" spans="1:9" ht="17.100000000000001" customHeight="1">
      <c r="A1935" s="1394"/>
      <c r="B1935" s="2154"/>
      <c r="C1935" s="2112" t="s">
        <v>560</v>
      </c>
      <c r="D1935" s="2112"/>
      <c r="E1935" s="1063">
        <f>E1936</f>
        <v>4000000</v>
      </c>
      <c r="F1935" s="1063">
        <f t="shared" ref="F1935:G1935" si="480">F1936</f>
        <v>4827060</v>
      </c>
      <c r="G1935" s="1063">
        <f t="shared" si="480"/>
        <v>4795060</v>
      </c>
      <c r="H1935" s="1064">
        <f t="shared" si="478"/>
        <v>0.99337070597838018</v>
      </c>
    </row>
    <row r="1936" spans="1:9" ht="17.100000000000001" customHeight="1">
      <c r="A1936" s="1394"/>
      <c r="B1936" s="2154"/>
      <c r="C1936" s="2142" t="s">
        <v>647</v>
      </c>
      <c r="D1936" s="2142"/>
      <c r="E1936" s="1079">
        <f>SUM(E1937:E1939)</f>
        <v>4000000</v>
      </c>
      <c r="F1936" s="1079">
        <f t="shared" ref="F1936:G1936" si="481">SUM(F1937:F1939)</f>
        <v>4827060</v>
      </c>
      <c r="G1936" s="1079">
        <f t="shared" si="481"/>
        <v>4795060</v>
      </c>
      <c r="H1936" s="1080">
        <f t="shared" si="478"/>
        <v>0.99337070597838018</v>
      </c>
      <c r="I1936" s="1037"/>
    </row>
    <row r="1937" spans="1:9" ht="28.5" customHeight="1">
      <c r="A1937" s="1394"/>
      <c r="B1937" s="1514"/>
      <c r="C1937" s="1703" t="s">
        <v>19</v>
      </c>
      <c r="D1937" s="1704" t="s">
        <v>691</v>
      </c>
      <c r="E1937" s="1079">
        <v>0</v>
      </c>
      <c r="F1937" s="1079">
        <v>10000</v>
      </c>
      <c r="G1937" s="1079">
        <v>10000</v>
      </c>
      <c r="H1937" s="1080">
        <f t="shared" si="478"/>
        <v>1</v>
      </c>
      <c r="I1937" s="1037"/>
    </row>
    <row r="1938" spans="1:9" ht="40.5" customHeight="1">
      <c r="A1938" s="1394"/>
      <c r="B1938" s="1395"/>
      <c r="C1938" s="1692" t="s">
        <v>960</v>
      </c>
      <c r="D1938" s="1693" t="s">
        <v>961</v>
      </c>
      <c r="E1938" s="1079">
        <v>4000000</v>
      </c>
      <c r="F1938" s="1079">
        <v>4474279</v>
      </c>
      <c r="G1938" s="1079">
        <v>4454279</v>
      </c>
      <c r="H1938" s="1080">
        <f t="shared" si="478"/>
        <v>0.9955300060635468</v>
      </c>
      <c r="I1938" s="1037"/>
    </row>
    <row r="1939" spans="1:9" ht="41.25" customHeight="1" thickBot="1">
      <c r="A1939" s="1394"/>
      <c r="B1939" s="1395"/>
      <c r="C1939" s="1101" t="s">
        <v>962</v>
      </c>
      <c r="D1939" s="1102" t="s">
        <v>963</v>
      </c>
      <c r="E1939" s="1103">
        <v>0</v>
      </c>
      <c r="F1939" s="1103">
        <v>342781</v>
      </c>
      <c r="G1939" s="1103">
        <v>330781</v>
      </c>
      <c r="H1939" s="1104">
        <f t="shared" si="478"/>
        <v>0.96499222535671458</v>
      </c>
      <c r="I1939" s="1037"/>
    </row>
    <row r="1940" spans="1:9" ht="17.100000000000001" customHeight="1" thickBot="1">
      <c r="A1940" s="1394"/>
      <c r="B1940" s="1144" t="s">
        <v>964</v>
      </c>
      <c r="C1940" s="1153"/>
      <c r="D1940" s="1154" t="s">
        <v>11</v>
      </c>
      <c r="E1940" s="1155">
        <f>E1941+E1976</f>
        <v>6811031</v>
      </c>
      <c r="F1940" s="1155">
        <f>F1941+F1976</f>
        <v>858280</v>
      </c>
      <c r="G1940" s="1155">
        <f>G1941+G1976</f>
        <v>552217</v>
      </c>
      <c r="H1940" s="1156">
        <f t="shared" si="478"/>
        <v>0.64339958987742929</v>
      </c>
      <c r="I1940" s="1037"/>
    </row>
    <row r="1941" spans="1:9" ht="17.100000000000001" customHeight="1">
      <c r="A1941" s="1394"/>
      <c r="B1941" s="2153"/>
      <c r="C1941" s="2148" t="s">
        <v>560</v>
      </c>
      <c r="D1941" s="2148"/>
      <c r="E1941" s="1063">
        <f>E1942+E1956+E1952</f>
        <v>840700</v>
      </c>
      <c r="F1941" s="1063">
        <f>F1942+F1956+F1952</f>
        <v>585200</v>
      </c>
      <c r="G1941" s="1063">
        <f t="shared" ref="G1941" si="482">G1942+G1956+G1952</f>
        <v>338868</v>
      </c>
      <c r="H1941" s="1064">
        <f t="shared" si="478"/>
        <v>0.57906356801093639</v>
      </c>
      <c r="I1941" s="1037"/>
    </row>
    <row r="1942" spans="1:9" ht="17.100000000000001" customHeight="1">
      <c r="A1942" s="1394"/>
      <c r="B1942" s="2153"/>
      <c r="C1942" s="2142" t="s">
        <v>561</v>
      </c>
      <c r="D1942" s="2142"/>
      <c r="E1942" s="1079">
        <f t="shared" ref="E1942:G1942" si="483">SUM(E1943,E1948)</f>
        <v>590000</v>
      </c>
      <c r="F1942" s="1079">
        <f t="shared" si="483"/>
        <v>251000</v>
      </c>
      <c r="G1942" s="1079">
        <f t="shared" si="483"/>
        <v>138766</v>
      </c>
      <c r="H1942" s="1080">
        <f t="shared" si="478"/>
        <v>0.55285258964143424</v>
      </c>
      <c r="I1942" s="1037"/>
    </row>
    <row r="1943" spans="1:9" ht="17.100000000000001" customHeight="1">
      <c r="A1943" s="1394"/>
      <c r="B1943" s="2153"/>
      <c r="C1943" s="2143" t="s">
        <v>562</v>
      </c>
      <c r="D1943" s="2143"/>
      <c r="E1943" s="1079">
        <f t="shared" ref="E1943:G1943" si="484">SUM(E1944:E1946)</f>
        <v>50000</v>
      </c>
      <c r="F1943" s="1079">
        <f t="shared" si="484"/>
        <v>80000</v>
      </c>
      <c r="G1943" s="1079">
        <f t="shared" si="484"/>
        <v>70672</v>
      </c>
      <c r="H1943" s="1080">
        <f t="shared" si="478"/>
        <v>0.88339999999999996</v>
      </c>
      <c r="I1943" s="1037"/>
    </row>
    <row r="1944" spans="1:9" ht="17.100000000000001" customHeight="1">
      <c r="A1944" s="1394"/>
      <c r="B1944" s="2153"/>
      <c r="C1944" s="1692" t="s">
        <v>146</v>
      </c>
      <c r="D1944" s="1693" t="s">
        <v>566</v>
      </c>
      <c r="E1944" s="1079">
        <v>3810</v>
      </c>
      <c r="F1944" s="1079">
        <v>2736</v>
      </c>
      <c r="G1944" s="1079">
        <v>447</v>
      </c>
      <c r="H1944" s="1080">
        <f t="shared" si="478"/>
        <v>0.16337719298245615</v>
      </c>
      <c r="I1944" s="1037"/>
    </row>
    <row r="1945" spans="1:9" ht="17.100000000000001" customHeight="1">
      <c r="A1945" s="1394"/>
      <c r="B1945" s="2153"/>
      <c r="C1945" s="1692" t="s">
        <v>147</v>
      </c>
      <c r="D1945" s="1693" t="s">
        <v>567</v>
      </c>
      <c r="E1945" s="1079">
        <v>390</v>
      </c>
      <c r="F1945" s="1079">
        <v>234</v>
      </c>
      <c r="G1945" s="1079">
        <v>0</v>
      </c>
      <c r="H1945" s="1080">
        <f t="shared" si="478"/>
        <v>0</v>
      </c>
      <c r="I1945" s="1037"/>
    </row>
    <row r="1946" spans="1:9" ht="17.100000000000001" customHeight="1">
      <c r="A1946" s="1394"/>
      <c r="B1946" s="2153"/>
      <c r="C1946" s="1692" t="s">
        <v>568</v>
      </c>
      <c r="D1946" s="1693" t="s">
        <v>569</v>
      </c>
      <c r="E1946" s="1079">
        <v>45800</v>
      </c>
      <c r="F1946" s="1079">
        <v>77030</v>
      </c>
      <c r="G1946" s="1079">
        <v>70225</v>
      </c>
      <c r="H1946" s="1080">
        <f t="shared" si="478"/>
        <v>0.91165779566402705</v>
      </c>
      <c r="I1946" s="1037"/>
    </row>
    <row r="1947" spans="1:9" ht="17.100000000000001" customHeight="1">
      <c r="A1947" s="1394"/>
      <c r="B1947" s="2153"/>
      <c r="C1947" s="1704"/>
      <c r="D1947" s="1704"/>
      <c r="E1947" s="1079"/>
      <c r="F1947" s="1079"/>
      <c r="G1947" s="1079"/>
      <c r="H1947" s="1080"/>
      <c r="I1947" s="1037"/>
    </row>
    <row r="1948" spans="1:9" ht="17.100000000000001" customHeight="1">
      <c r="A1948" s="1394"/>
      <c r="B1948" s="2153"/>
      <c r="C1948" s="2146" t="s">
        <v>570</v>
      </c>
      <c r="D1948" s="2146"/>
      <c r="E1948" s="1079">
        <f t="shared" ref="E1948:G1948" si="485">SUM(E1949:E1950)</f>
        <v>540000</v>
      </c>
      <c r="F1948" s="1079">
        <f t="shared" si="485"/>
        <v>171000</v>
      </c>
      <c r="G1948" s="1079">
        <f t="shared" si="485"/>
        <v>68094</v>
      </c>
      <c r="H1948" s="1080">
        <f t="shared" si="478"/>
        <v>0.39821052631578946</v>
      </c>
      <c r="I1948" s="1037"/>
    </row>
    <row r="1949" spans="1:9" ht="17.100000000000001" customHeight="1">
      <c r="A1949" s="1394"/>
      <c r="B1949" s="2153"/>
      <c r="C1949" s="1692" t="s">
        <v>143</v>
      </c>
      <c r="D1949" s="1693" t="s">
        <v>573</v>
      </c>
      <c r="E1949" s="1079">
        <v>7000</v>
      </c>
      <c r="F1949" s="1079">
        <v>43200</v>
      </c>
      <c r="G1949" s="1079">
        <v>24984</v>
      </c>
      <c r="H1949" s="1080">
        <f t="shared" si="478"/>
        <v>0.57833333333333337</v>
      </c>
      <c r="I1949" s="1037"/>
    </row>
    <row r="1950" spans="1:9" ht="17.100000000000001" customHeight="1">
      <c r="A1950" s="1394"/>
      <c r="B1950" s="2153"/>
      <c r="C1950" s="1692" t="s">
        <v>25</v>
      </c>
      <c r="D1950" s="1693" t="s">
        <v>581</v>
      </c>
      <c r="E1950" s="1079">
        <v>533000</v>
      </c>
      <c r="F1950" s="1079">
        <v>127800</v>
      </c>
      <c r="G1950" s="1079">
        <v>43110</v>
      </c>
      <c r="H1950" s="1080">
        <f t="shared" si="478"/>
        <v>0.33732394366197183</v>
      </c>
      <c r="I1950" s="1037"/>
    </row>
    <row r="1951" spans="1:9" ht="17.100000000000001" customHeight="1">
      <c r="A1951" s="1394"/>
      <c r="B1951" s="1705"/>
      <c r="C1951" s="1706"/>
      <c r="D1951" s="1707"/>
      <c r="E1951" s="1079"/>
      <c r="F1951" s="1079"/>
      <c r="G1951" s="1079"/>
      <c r="H1951" s="1080"/>
      <c r="I1951" s="1037"/>
    </row>
    <row r="1952" spans="1:9" ht="17.100000000000001" customHeight="1">
      <c r="A1952" s="1394"/>
      <c r="B1952" s="1705"/>
      <c r="C1952" s="2142" t="s">
        <v>647</v>
      </c>
      <c r="D1952" s="2142"/>
      <c r="E1952" s="1079">
        <f>SUM(E1953:E1954)</f>
        <v>0</v>
      </c>
      <c r="F1952" s="1079">
        <f t="shared" ref="F1952:G1952" si="486">SUM(F1953:F1954)</f>
        <v>83500</v>
      </c>
      <c r="G1952" s="1079">
        <f t="shared" si="486"/>
        <v>83500</v>
      </c>
      <c r="H1952" s="1080">
        <f t="shared" si="478"/>
        <v>1</v>
      </c>
      <c r="I1952" s="1037"/>
    </row>
    <row r="1953" spans="1:9" ht="42.75" customHeight="1">
      <c r="A1953" s="1394"/>
      <c r="B1953" s="1705"/>
      <c r="C1953" s="1692" t="s">
        <v>125</v>
      </c>
      <c r="D1953" s="1693" t="s">
        <v>656</v>
      </c>
      <c r="E1953" s="1079">
        <v>0</v>
      </c>
      <c r="F1953" s="1079">
        <v>53500</v>
      </c>
      <c r="G1953" s="1079">
        <v>53500</v>
      </c>
      <c r="H1953" s="1080">
        <f t="shared" si="478"/>
        <v>1</v>
      </c>
      <c r="I1953" s="1037"/>
    </row>
    <row r="1954" spans="1:9" ht="30.75" customHeight="1">
      <c r="A1954" s="1394"/>
      <c r="B1954" s="1705"/>
      <c r="C1954" s="1692" t="s">
        <v>19</v>
      </c>
      <c r="D1954" s="1693" t="s">
        <v>719</v>
      </c>
      <c r="E1954" s="1079">
        <v>0</v>
      </c>
      <c r="F1954" s="1079">
        <v>30000</v>
      </c>
      <c r="G1954" s="1079">
        <v>30000</v>
      </c>
      <c r="H1954" s="1080">
        <f t="shared" si="478"/>
        <v>1</v>
      </c>
      <c r="I1954" s="1037"/>
    </row>
    <row r="1955" spans="1:9" ht="17.100000000000001" customHeight="1">
      <c r="A1955" s="1394"/>
      <c r="B1955" s="1705"/>
      <c r="C1955" s="1706"/>
      <c r="D1955" s="1707"/>
      <c r="E1955" s="1079"/>
      <c r="F1955" s="1079"/>
      <c r="G1955" s="1079"/>
      <c r="H1955" s="1080"/>
      <c r="I1955" s="1037"/>
    </row>
    <row r="1956" spans="1:9" ht="17.100000000000001" customHeight="1">
      <c r="A1956" s="1394"/>
      <c r="B1956" s="1705"/>
      <c r="C1956" s="2142" t="s">
        <v>616</v>
      </c>
      <c r="D1956" s="2142"/>
      <c r="E1956" s="1079">
        <f>SUM(E1957:E1974)</f>
        <v>250700</v>
      </c>
      <c r="F1956" s="1079">
        <f t="shared" ref="F1956:G1956" si="487">SUM(F1957:F1974)</f>
        <v>250700</v>
      </c>
      <c r="G1956" s="1079">
        <f t="shared" si="487"/>
        <v>116602</v>
      </c>
      <c r="H1956" s="1080">
        <f t="shared" si="478"/>
        <v>0.46510570402871959</v>
      </c>
      <c r="I1956" s="1037"/>
    </row>
    <row r="1957" spans="1:9" ht="17.100000000000001" customHeight="1">
      <c r="A1957" s="1394"/>
      <c r="B1957" s="1705"/>
      <c r="C1957" s="1692" t="s">
        <v>757</v>
      </c>
      <c r="D1957" s="1567" t="s">
        <v>758</v>
      </c>
      <c r="E1957" s="1079">
        <v>2890</v>
      </c>
      <c r="F1957" s="1079">
        <v>2890</v>
      </c>
      <c r="G1957" s="1079">
        <v>0</v>
      </c>
      <c r="H1957" s="1080">
        <f t="shared" si="478"/>
        <v>0</v>
      </c>
      <c r="I1957" s="1037"/>
    </row>
    <row r="1958" spans="1:9" ht="17.100000000000001" customHeight="1">
      <c r="A1958" s="1394"/>
      <c r="B1958" s="1705"/>
      <c r="C1958" s="1692" t="s">
        <v>759</v>
      </c>
      <c r="D1958" s="1567" t="s">
        <v>758</v>
      </c>
      <c r="E1958" s="1079">
        <v>510</v>
      </c>
      <c r="F1958" s="1079">
        <v>510</v>
      </c>
      <c r="G1958" s="1079">
        <v>0</v>
      </c>
      <c r="H1958" s="1080">
        <f t="shared" si="478"/>
        <v>0</v>
      </c>
      <c r="I1958" s="1037"/>
    </row>
    <row r="1959" spans="1:9" ht="17.100000000000001" customHeight="1">
      <c r="A1959" s="1394"/>
      <c r="B1959" s="1705"/>
      <c r="C1959" s="1692" t="s">
        <v>620</v>
      </c>
      <c r="D1959" s="1693" t="s">
        <v>563</v>
      </c>
      <c r="E1959" s="1079">
        <v>89250</v>
      </c>
      <c r="F1959" s="1079">
        <v>89250</v>
      </c>
      <c r="G1959" s="1079">
        <v>61304</v>
      </c>
      <c r="H1959" s="1080">
        <f t="shared" si="478"/>
        <v>0.68687955182072824</v>
      </c>
      <c r="I1959" s="1037"/>
    </row>
    <row r="1960" spans="1:9" ht="17.100000000000001" customHeight="1">
      <c r="A1960" s="1394"/>
      <c r="B1960" s="1705"/>
      <c r="C1960" s="1692" t="s">
        <v>621</v>
      </c>
      <c r="D1960" s="1693" t="s">
        <v>563</v>
      </c>
      <c r="E1960" s="1079">
        <v>15750</v>
      </c>
      <c r="F1960" s="1079">
        <v>15750</v>
      </c>
      <c r="G1960" s="1079">
        <v>10818</v>
      </c>
      <c r="H1960" s="1080">
        <f t="shared" si="478"/>
        <v>0.68685714285714283</v>
      </c>
      <c r="I1960" s="1037"/>
    </row>
    <row r="1961" spans="1:9" ht="17.100000000000001" customHeight="1">
      <c r="A1961" s="1394"/>
      <c r="B1961" s="1705"/>
      <c r="C1961" s="1692" t="s">
        <v>624</v>
      </c>
      <c r="D1961" s="1693" t="s">
        <v>566</v>
      </c>
      <c r="E1961" s="1079">
        <v>16235</v>
      </c>
      <c r="F1961" s="1079">
        <v>16235</v>
      </c>
      <c r="G1961" s="1079">
        <v>10588</v>
      </c>
      <c r="H1961" s="1080">
        <f t="shared" si="478"/>
        <v>0.65217123498614105</v>
      </c>
      <c r="I1961" s="1037"/>
    </row>
    <row r="1962" spans="1:9" ht="17.100000000000001" customHeight="1">
      <c r="A1962" s="1394"/>
      <c r="B1962" s="1705"/>
      <c r="C1962" s="1692" t="s">
        <v>625</v>
      </c>
      <c r="D1962" s="1693" t="s">
        <v>566</v>
      </c>
      <c r="E1962" s="1079">
        <v>2865</v>
      </c>
      <c r="F1962" s="1079">
        <v>2865</v>
      </c>
      <c r="G1962" s="1079">
        <v>1869</v>
      </c>
      <c r="H1962" s="1080">
        <f t="shared" si="478"/>
        <v>0.65235602094240841</v>
      </c>
      <c r="I1962" s="1037"/>
    </row>
    <row r="1963" spans="1:9" ht="17.100000000000001" customHeight="1">
      <c r="A1963" s="1394"/>
      <c r="B1963" s="1705"/>
      <c r="C1963" s="1692" t="s">
        <v>626</v>
      </c>
      <c r="D1963" s="1693" t="s">
        <v>567</v>
      </c>
      <c r="E1963" s="1079">
        <v>1700</v>
      </c>
      <c r="F1963" s="1079">
        <v>1700</v>
      </c>
      <c r="G1963" s="1079">
        <v>1493</v>
      </c>
      <c r="H1963" s="1080">
        <f t="shared" si="478"/>
        <v>0.87823529411764711</v>
      </c>
      <c r="I1963" s="1037"/>
    </row>
    <row r="1964" spans="1:9" ht="17.100000000000001" customHeight="1">
      <c r="A1964" s="1394"/>
      <c r="B1964" s="1705"/>
      <c r="C1964" s="1692" t="s">
        <v>627</v>
      </c>
      <c r="D1964" s="1693" t="s">
        <v>567</v>
      </c>
      <c r="E1964" s="1079">
        <v>300</v>
      </c>
      <c r="F1964" s="1079">
        <v>300</v>
      </c>
      <c r="G1964" s="1079">
        <v>263</v>
      </c>
      <c r="H1964" s="1080">
        <f t="shared" si="478"/>
        <v>0.87666666666666671</v>
      </c>
      <c r="I1964" s="1037"/>
    </row>
    <row r="1965" spans="1:9" ht="17.100000000000001" customHeight="1">
      <c r="A1965" s="1394"/>
      <c r="B1965" s="1705"/>
      <c r="C1965" s="1692" t="s">
        <v>628</v>
      </c>
      <c r="D1965" s="1693" t="s">
        <v>569</v>
      </c>
      <c r="E1965" s="1079">
        <v>10795</v>
      </c>
      <c r="F1965" s="1079">
        <v>10795</v>
      </c>
      <c r="G1965" s="1079">
        <v>680</v>
      </c>
      <c r="H1965" s="1080">
        <f t="shared" si="478"/>
        <v>6.2992125984251968E-2</v>
      </c>
      <c r="I1965" s="1037"/>
    </row>
    <row r="1966" spans="1:9" ht="17.100000000000001" customHeight="1">
      <c r="A1966" s="1394"/>
      <c r="B1966" s="1705"/>
      <c r="C1966" s="1692" t="s">
        <v>629</v>
      </c>
      <c r="D1966" s="1693" t="s">
        <v>569</v>
      </c>
      <c r="E1966" s="1079">
        <v>1905</v>
      </c>
      <c r="F1966" s="1079">
        <v>1905</v>
      </c>
      <c r="G1966" s="1079">
        <v>120</v>
      </c>
      <c r="H1966" s="1080">
        <f t="shared" si="478"/>
        <v>6.2992125984251968E-2</v>
      </c>
      <c r="I1966" s="1037"/>
    </row>
    <row r="1967" spans="1:9" ht="17.100000000000001" customHeight="1">
      <c r="A1967" s="1394"/>
      <c r="B1967" s="1705"/>
      <c r="C1967" s="1692" t="s">
        <v>633</v>
      </c>
      <c r="D1967" s="1693" t="s">
        <v>573</v>
      </c>
      <c r="E1967" s="1079">
        <v>5525</v>
      </c>
      <c r="F1967" s="1079">
        <v>5525</v>
      </c>
      <c r="G1967" s="1079">
        <v>187</v>
      </c>
      <c r="H1967" s="1080">
        <f t="shared" si="478"/>
        <v>3.3846153846153845E-2</v>
      </c>
      <c r="I1967" s="1037"/>
    </row>
    <row r="1968" spans="1:9" ht="17.100000000000001" customHeight="1">
      <c r="A1968" s="1394"/>
      <c r="B1968" s="1705"/>
      <c r="C1968" s="1692" t="s">
        <v>634</v>
      </c>
      <c r="D1968" s="1693" t="s">
        <v>573</v>
      </c>
      <c r="E1968" s="1079">
        <v>975</v>
      </c>
      <c r="F1968" s="1079">
        <v>975</v>
      </c>
      <c r="G1968" s="1079">
        <v>33</v>
      </c>
      <c r="H1968" s="1080">
        <f t="shared" si="478"/>
        <v>3.3846153846153845E-2</v>
      </c>
      <c r="I1968" s="1037"/>
    </row>
    <row r="1969" spans="1:9" ht="17.100000000000001" customHeight="1">
      <c r="A1969" s="1394"/>
      <c r="B1969" s="1705"/>
      <c r="C1969" s="1692" t="s">
        <v>637</v>
      </c>
      <c r="D1969" s="1693" t="s">
        <v>581</v>
      </c>
      <c r="E1969" s="1079">
        <v>53125</v>
      </c>
      <c r="F1969" s="1079">
        <v>53125</v>
      </c>
      <c r="G1969" s="1079">
        <v>11244</v>
      </c>
      <c r="H1969" s="1080">
        <f t="shared" si="478"/>
        <v>0.21165176470588234</v>
      </c>
      <c r="I1969" s="1037"/>
    </row>
    <row r="1970" spans="1:9" ht="17.100000000000001" customHeight="1">
      <c r="A1970" s="1394"/>
      <c r="B1970" s="1705"/>
      <c r="C1970" s="1692" t="s">
        <v>638</v>
      </c>
      <c r="D1970" s="1693" t="s">
        <v>581</v>
      </c>
      <c r="E1970" s="1079">
        <v>9375</v>
      </c>
      <c r="F1970" s="1079">
        <v>9375</v>
      </c>
      <c r="G1970" s="1079">
        <v>1984</v>
      </c>
      <c r="H1970" s="1080">
        <f t="shared" si="478"/>
        <v>0.21162666666666666</v>
      </c>
      <c r="I1970" s="1037"/>
    </row>
    <row r="1971" spans="1:9" ht="17.100000000000001" customHeight="1">
      <c r="A1971" s="1394"/>
      <c r="B1971" s="1705"/>
      <c r="C1971" s="1692" t="s">
        <v>641</v>
      </c>
      <c r="D1971" s="1693" t="s">
        <v>588</v>
      </c>
      <c r="E1971" s="1079">
        <v>2975</v>
      </c>
      <c r="F1971" s="1079">
        <v>2975</v>
      </c>
      <c r="G1971" s="1079">
        <v>204</v>
      </c>
      <c r="H1971" s="1080">
        <f t="shared" si="478"/>
        <v>6.8571428571428575E-2</v>
      </c>
      <c r="I1971" s="1037"/>
    </row>
    <row r="1972" spans="1:9" ht="17.100000000000001" customHeight="1">
      <c r="A1972" s="1394"/>
      <c r="B1972" s="1705"/>
      <c r="C1972" s="1692" t="s">
        <v>642</v>
      </c>
      <c r="D1972" s="1693" t="s">
        <v>588</v>
      </c>
      <c r="E1972" s="1079">
        <v>525</v>
      </c>
      <c r="F1972" s="1079">
        <v>525</v>
      </c>
      <c r="G1972" s="1079">
        <v>36</v>
      </c>
      <c r="H1972" s="1080">
        <f t="shared" si="478"/>
        <v>6.8571428571428575E-2</v>
      </c>
      <c r="I1972" s="1037"/>
    </row>
    <row r="1973" spans="1:9" ht="17.100000000000001" customHeight="1">
      <c r="A1973" s="1394"/>
      <c r="B1973" s="1705"/>
      <c r="C1973" s="1692" t="s">
        <v>745</v>
      </c>
      <c r="D1973" s="1707" t="s">
        <v>702</v>
      </c>
      <c r="E1973" s="1079">
        <v>30600</v>
      </c>
      <c r="F1973" s="1079">
        <v>30600</v>
      </c>
      <c r="G1973" s="1079">
        <v>13412</v>
      </c>
      <c r="H1973" s="1080">
        <f t="shared" si="478"/>
        <v>0.43830065359477122</v>
      </c>
      <c r="I1973" s="1037"/>
    </row>
    <row r="1974" spans="1:9" ht="17.100000000000001" customHeight="1">
      <c r="A1974" s="1394"/>
      <c r="B1974" s="1705"/>
      <c r="C1974" s="1692" t="s">
        <v>746</v>
      </c>
      <c r="D1974" s="1707" t="s">
        <v>702</v>
      </c>
      <c r="E1974" s="1079">
        <v>5400</v>
      </c>
      <c r="F1974" s="1079">
        <v>5400</v>
      </c>
      <c r="G1974" s="1079">
        <v>2367</v>
      </c>
      <c r="H1974" s="1080">
        <f t="shared" si="478"/>
        <v>0.43833333333333335</v>
      </c>
      <c r="I1974" s="1037"/>
    </row>
    <row r="1975" spans="1:9" ht="17.100000000000001" customHeight="1">
      <c r="A1975" s="1394"/>
      <c r="B1975" s="1705"/>
      <c r="C1975" s="1706"/>
      <c r="D1975" s="1707"/>
      <c r="E1975" s="1079"/>
      <c r="F1975" s="1079"/>
      <c r="G1975" s="1079"/>
      <c r="H1975" s="1080"/>
      <c r="I1975" s="1037"/>
    </row>
    <row r="1976" spans="1:9" ht="17.100000000000001" customHeight="1">
      <c r="A1976" s="1394"/>
      <c r="B1976" s="1395"/>
      <c r="C1976" s="2149" t="s">
        <v>605</v>
      </c>
      <c r="D1976" s="2149"/>
      <c r="E1976" s="1083">
        <f t="shared" ref="E1976:G1976" si="488">E1977</f>
        <v>5970331</v>
      </c>
      <c r="F1976" s="1083">
        <f t="shared" si="488"/>
        <v>273080</v>
      </c>
      <c r="G1976" s="1083">
        <f t="shared" si="488"/>
        <v>213349</v>
      </c>
      <c r="H1976" s="1084">
        <f t="shared" si="478"/>
        <v>0.78126922513549146</v>
      </c>
      <c r="I1976" s="1037"/>
    </row>
    <row r="1977" spans="1:9" ht="17.100000000000001" customHeight="1">
      <c r="A1977" s="1394"/>
      <c r="B1977" s="1395"/>
      <c r="C1977" s="2125" t="s">
        <v>606</v>
      </c>
      <c r="D1977" s="2126"/>
      <c r="E1977" s="1079">
        <f t="shared" ref="E1977:G1977" si="489">SUM(E1978:E1981)</f>
        <v>5970331</v>
      </c>
      <c r="F1977" s="1079">
        <f t="shared" si="489"/>
        <v>273080</v>
      </c>
      <c r="G1977" s="1079">
        <f t="shared" si="489"/>
        <v>213349</v>
      </c>
      <c r="H1977" s="1080">
        <f t="shared" si="478"/>
        <v>0.78126922513549146</v>
      </c>
      <c r="I1977" s="1037"/>
    </row>
    <row r="1978" spans="1:9" ht="17.100000000000001" customHeight="1">
      <c r="A1978" s="1394"/>
      <c r="B1978" s="1395"/>
      <c r="C1978" s="1708" t="s">
        <v>26</v>
      </c>
      <c r="D1978" s="1126" t="s">
        <v>607</v>
      </c>
      <c r="E1978" s="1701">
        <v>200831</v>
      </c>
      <c r="F1978" s="1701">
        <v>98960</v>
      </c>
      <c r="G1978" s="1701">
        <v>94209</v>
      </c>
      <c r="H1978" s="1702">
        <f t="shared" si="478"/>
        <v>0.95199070331447044</v>
      </c>
      <c r="I1978" s="1037"/>
    </row>
    <row r="1979" spans="1:9" ht="17.100000000000001" customHeight="1">
      <c r="A1979" s="1394"/>
      <c r="B1979" s="1395"/>
      <c r="C1979" s="1107" t="s">
        <v>695</v>
      </c>
      <c r="D1979" s="1126" t="s">
        <v>607</v>
      </c>
      <c r="E1979" s="1189">
        <v>4734075</v>
      </c>
      <c r="F1979" s="1189">
        <v>46002</v>
      </c>
      <c r="G1979" s="1189">
        <v>0</v>
      </c>
      <c r="H1979" s="1190">
        <f t="shared" si="478"/>
        <v>0</v>
      </c>
      <c r="I1979" s="1037"/>
    </row>
    <row r="1980" spans="1:9" ht="17.100000000000001" customHeight="1">
      <c r="A1980" s="1394"/>
      <c r="B1980" s="1395"/>
      <c r="C1980" s="1708" t="s">
        <v>98</v>
      </c>
      <c r="D1980" s="1126" t="s">
        <v>607</v>
      </c>
      <c r="E1980" s="1701">
        <v>835425</v>
      </c>
      <c r="F1980" s="1701">
        <v>8118</v>
      </c>
      <c r="G1980" s="1701">
        <v>0</v>
      </c>
      <c r="H1980" s="1702">
        <f t="shared" si="478"/>
        <v>0</v>
      </c>
      <c r="I1980" s="1037"/>
    </row>
    <row r="1981" spans="1:9" ht="38.25">
      <c r="A1981" s="1394"/>
      <c r="B1981" s="1395"/>
      <c r="C1981" s="1708" t="s">
        <v>22</v>
      </c>
      <c r="D1981" s="1709" t="s">
        <v>711</v>
      </c>
      <c r="E1981" s="1701">
        <v>200000</v>
      </c>
      <c r="F1981" s="1701">
        <v>120000</v>
      </c>
      <c r="G1981" s="1701">
        <v>119140</v>
      </c>
      <c r="H1981" s="1702">
        <f t="shared" si="478"/>
        <v>0.99283333333333335</v>
      </c>
      <c r="I1981" s="1037"/>
    </row>
    <row r="1982" spans="1:9" ht="17.100000000000001" customHeight="1">
      <c r="A1982" s="1394"/>
      <c r="B1982" s="1395"/>
      <c r="C1982" s="2150"/>
      <c r="D1982" s="2151"/>
      <c r="E1982" s="1701"/>
      <c r="F1982" s="1701"/>
      <c r="G1982" s="1701"/>
      <c r="H1982" s="1702"/>
      <c r="I1982" s="1037"/>
    </row>
    <row r="1983" spans="1:9" ht="17.100000000000001" customHeight="1">
      <c r="A1983" s="1394"/>
      <c r="B1983" s="1395"/>
      <c r="C1983" s="2146" t="s">
        <v>614</v>
      </c>
      <c r="D1983" s="2152"/>
      <c r="E1983" s="1079">
        <f>SUM(E1984:E1985)</f>
        <v>5569500</v>
      </c>
      <c r="F1983" s="1079">
        <f t="shared" ref="F1983:G1983" si="490">SUM(F1984:F1985)</f>
        <v>54120</v>
      </c>
      <c r="G1983" s="1079">
        <f t="shared" si="490"/>
        <v>0</v>
      </c>
      <c r="H1983" s="1080">
        <f t="shared" si="478"/>
        <v>0</v>
      </c>
      <c r="I1983" s="1037"/>
    </row>
    <row r="1984" spans="1:9" ht="17.100000000000001" customHeight="1">
      <c r="A1984" s="1394"/>
      <c r="B1984" s="1395"/>
      <c r="C1984" s="1107" t="s">
        <v>695</v>
      </c>
      <c r="D1984" s="1108" t="s">
        <v>607</v>
      </c>
      <c r="E1984" s="1696">
        <v>4734075</v>
      </c>
      <c r="F1984" s="1696">
        <v>46002</v>
      </c>
      <c r="G1984" s="1710">
        <v>0</v>
      </c>
      <c r="H1984" s="1080">
        <f t="shared" si="478"/>
        <v>0</v>
      </c>
      <c r="I1984" s="1037"/>
    </row>
    <row r="1985" spans="1:9" ht="17.100000000000001" customHeight="1" thickBot="1">
      <c r="A1985" s="1394"/>
      <c r="B1985" s="1395"/>
      <c r="C1985" s="1251" t="s">
        <v>98</v>
      </c>
      <c r="D1985" s="1252" t="s">
        <v>607</v>
      </c>
      <c r="E1985" s="1089">
        <v>835425</v>
      </c>
      <c r="F1985" s="1089">
        <v>8118</v>
      </c>
      <c r="G1985" s="1270">
        <v>0</v>
      </c>
      <c r="H1985" s="1080">
        <f t="shared" si="478"/>
        <v>0</v>
      </c>
      <c r="I1985" s="1037"/>
    </row>
    <row r="1986" spans="1:9" ht="27.75" customHeight="1" thickBot="1">
      <c r="A1986" s="1051" t="s">
        <v>965</v>
      </c>
      <c r="B1986" s="1168"/>
      <c r="C1986" s="1169"/>
      <c r="D1986" s="1170" t="s">
        <v>966</v>
      </c>
      <c r="E1986" s="1171">
        <f>E1987+E2025</f>
        <v>1205615</v>
      </c>
      <c r="F1986" s="1171">
        <f>F1987+F2025</f>
        <v>1426602</v>
      </c>
      <c r="G1986" s="1171">
        <f>G1987+G2025</f>
        <v>1424003</v>
      </c>
      <c r="H1986" s="1172">
        <f t="shared" si="478"/>
        <v>0.99817818845059803</v>
      </c>
      <c r="I1986" s="1037"/>
    </row>
    <row r="1987" spans="1:9" ht="17.100000000000001" customHeight="1" thickBot="1">
      <c r="A1987" s="1394"/>
      <c r="B1987" s="1144" t="s">
        <v>967</v>
      </c>
      <c r="C1987" s="1145"/>
      <c r="D1987" s="1146" t="s">
        <v>545</v>
      </c>
      <c r="E1987" s="1147">
        <f>E1988+E2022</f>
        <v>1200615</v>
      </c>
      <c r="F1987" s="1147">
        <f t="shared" ref="F1987:G1987" si="491">F1988+F2022</f>
        <v>1413984</v>
      </c>
      <c r="G1987" s="1147">
        <f t="shared" si="491"/>
        <v>1411906</v>
      </c>
      <c r="H1987" s="1148">
        <f t="shared" si="478"/>
        <v>0.99853039355466544</v>
      </c>
      <c r="I1987" s="1037"/>
    </row>
    <row r="1988" spans="1:9" ht="17.100000000000001" customHeight="1">
      <c r="A1988" s="1394"/>
      <c r="B1988" s="1395"/>
      <c r="C1988" s="2112" t="s">
        <v>560</v>
      </c>
      <c r="D1988" s="2112"/>
      <c r="E1988" s="1063">
        <f>E1989+E2014+E2017</f>
        <v>1200615</v>
      </c>
      <c r="F1988" s="1063">
        <f t="shared" ref="F1988:G1988" si="492">F1989+F2014+F2017</f>
        <v>1350765</v>
      </c>
      <c r="G1988" s="1063">
        <f t="shared" si="492"/>
        <v>1348687</v>
      </c>
      <c r="H1988" s="1064">
        <f t="shared" si="478"/>
        <v>0.99846161249366105</v>
      </c>
      <c r="I1988" s="1037"/>
    </row>
    <row r="1989" spans="1:9" ht="17.100000000000001" customHeight="1">
      <c r="A1989" s="1394"/>
      <c r="B1989" s="1395"/>
      <c r="C1989" s="2145" t="s">
        <v>561</v>
      </c>
      <c r="D1989" s="2145"/>
      <c r="E1989" s="1079">
        <f>E1990+E1997</f>
        <v>1161305</v>
      </c>
      <c r="F1989" s="1079">
        <f t="shared" ref="F1989:G1989" si="493">F1990+F1997</f>
        <v>1266556</v>
      </c>
      <c r="G1989" s="1079">
        <f t="shared" si="493"/>
        <v>1264480</v>
      </c>
      <c r="H1989" s="1080">
        <f t="shared" si="478"/>
        <v>0.99836090942682365</v>
      </c>
      <c r="I1989" s="1037"/>
    </row>
    <row r="1990" spans="1:9" ht="17.100000000000001" customHeight="1">
      <c r="A1990" s="1394"/>
      <c r="B1990" s="1395"/>
      <c r="C1990" s="2143" t="s">
        <v>562</v>
      </c>
      <c r="D1990" s="2143"/>
      <c r="E1990" s="1115">
        <f t="shared" ref="E1990:G1990" si="494">SUM(E1991:E1995)</f>
        <v>921141</v>
      </c>
      <c r="F1990" s="1115">
        <f t="shared" si="494"/>
        <v>960186</v>
      </c>
      <c r="G1990" s="1115">
        <f t="shared" si="494"/>
        <v>959745</v>
      </c>
      <c r="H1990" s="1116">
        <f t="shared" si="478"/>
        <v>0.99954071398666511</v>
      </c>
      <c r="I1990" s="1037"/>
    </row>
    <row r="1991" spans="1:9" ht="17.100000000000001" customHeight="1">
      <c r="A1991" s="1394"/>
      <c r="B1991" s="1395"/>
      <c r="C1991" s="1692" t="s">
        <v>145</v>
      </c>
      <c r="D1991" s="1693" t="s">
        <v>563</v>
      </c>
      <c r="E1991" s="1079">
        <v>712541</v>
      </c>
      <c r="F1991" s="1079">
        <v>752867</v>
      </c>
      <c r="G1991" s="1079">
        <v>752615</v>
      </c>
      <c r="H1991" s="1080">
        <f t="shared" si="478"/>
        <v>0.99966527952480322</v>
      </c>
      <c r="I1991" s="1037"/>
    </row>
    <row r="1992" spans="1:9" ht="17.100000000000001" customHeight="1">
      <c r="A1992" s="1394"/>
      <c r="B1992" s="1395"/>
      <c r="C1992" s="1692" t="s">
        <v>564</v>
      </c>
      <c r="D1992" s="1693" t="s">
        <v>565</v>
      </c>
      <c r="E1992" s="1079">
        <v>52761</v>
      </c>
      <c r="F1992" s="1079">
        <v>49242</v>
      </c>
      <c r="G1992" s="1079">
        <v>49241</v>
      </c>
      <c r="H1992" s="1080">
        <f t="shared" si="478"/>
        <v>0.99997969213273219</v>
      </c>
      <c r="I1992" s="1037"/>
    </row>
    <row r="1993" spans="1:9" ht="17.100000000000001" customHeight="1">
      <c r="A1993" s="1394"/>
      <c r="B1993" s="1395"/>
      <c r="C1993" s="1692" t="s">
        <v>146</v>
      </c>
      <c r="D1993" s="1693" t="s">
        <v>566</v>
      </c>
      <c r="E1993" s="1079">
        <v>133668</v>
      </c>
      <c r="F1993" s="1079">
        <v>132923</v>
      </c>
      <c r="G1993" s="1079">
        <v>132923</v>
      </c>
      <c r="H1993" s="1080">
        <f t="shared" si="478"/>
        <v>1</v>
      </c>
      <c r="I1993" s="1037"/>
    </row>
    <row r="1994" spans="1:9" ht="17.100000000000001" customHeight="1">
      <c r="A1994" s="1394"/>
      <c r="B1994" s="1395"/>
      <c r="C1994" s="1692" t="s">
        <v>147</v>
      </c>
      <c r="D1994" s="1693" t="s">
        <v>567</v>
      </c>
      <c r="E1994" s="1079">
        <v>9771</v>
      </c>
      <c r="F1994" s="1079">
        <v>12215</v>
      </c>
      <c r="G1994" s="1079">
        <v>12027</v>
      </c>
      <c r="H1994" s="1080">
        <f t="shared" si="478"/>
        <v>0.98460908718788376</v>
      </c>
      <c r="I1994" s="1037"/>
    </row>
    <row r="1995" spans="1:9" ht="17.100000000000001" customHeight="1">
      <c r="A1995" s="1394"/>
      <c r="B1995" s="1395"/>
      <c r="C1995" s="1692" t="s">
        <v>568</v>
      </c>
      <c r="D1995" s="1693" t="s">
        <v>569</v>
      </c>
      <c r="E1995" s="1079">
        <v>12400</v>
      </c>
      <c r="F1995" s="1079">
        <v>12939</v>
      </c>
      <c r="G1995" s="1079">
        <v>12939</v>
      </c>
      <c r="H1995" s="1080">
        <f t="shared" ref="H1995:H2071" si="495">G1995/F1995</f>
        <v>1</v>
      </c>
      <c r="I1995" s="1037"/>
    </row>
    <row r="1996" spans="1:9" ht="17.100000000000001" customHeight="1">
      <c r="A1996" s="1394"/>
      <c r="B1996" s="1395"/>
      <c r="C1996" s="1098"/>
      <c r="D1996" s="1098"/>
      <c r="E1996" s="1440"/>
      <c r="F1996" s="1440"/>
      <c r="G1996" s="1440"/>
      <c r="H1996" s="1441"/>
      <c r="I1996" s="1037"/>
    </row>
    <row r="1997" spans="1:9" ht="17.100000000000001" customHeight="1">
      <c r="A1997" s="1394"/>
      <c r="B1997" s="1395"/>
      <c r="C1997" s="2146" t="s">
        <v>570</v>
      </c>
      <c r="D1997" s="2146"/>
      <c r="E1997" s="1115">
        <f t="shared" ref="E1997:G1997" si="496">SUM(E1998:E2012)</f>
        <v>240164</v>
      </c>
      <c r="F1997" s="1115">
        <f t="shared" si="496"/>
        <v>306370</v>
      </c>
      <c r="G1997" s="1115">
        <f t="shared" si="496"/>
        <v>304735</v>
      </c>
      <c r="H1997" s="1116">
        <f t="shared" si="495"/>
        <v>0.99466331559878574</v>
      </c>
      <c r="I1997" s="1037"/>
    </row>
    <row r="1998" spans="1:9" ht="17.100000000000001" customHeight="1">
      <c r="A1998" s="1394"/>
      <c r="B1998" s="1395"/>
      <c r="C1998" s="1711" t="s">
        <v>163</v>
      </c>
      <c r="D1998" s="1712" t="s">
        <v>631</v>
      </c>
      <c r="E1998" s="1079">
        <v>5628</v>
      </c>
      <c r="F1998" s="1079">
        <v>17046</v>
      </c>
      <c r="G1998" s="1079">
        <v>17028</v>
      </c>
      <c r="H1998" s="1080">
        <f t="shared" si="495"/>
        <v>0.99894403379091867</v>
      </c>
      <c r="I1998" s="1037"/>
    </row>
    <row r="1999" spans="1:9" ht="17.100000000000001" customHeight="1">
      <c r="A1999" s="1394"/>
      <c r="B1999" s="1395"/>
      <c r="C1999" s="1692" t="s">
        <v>143</v>
      </c>
      <c r="D1999" s="1693" t="s">
        <v>573</v>
      </c>
      <c r="E1999" s="1079">
        <v>40135</v>
      </c>
      <c r="F1999" s="1079">
        <v>54419</v>
      </c>
      <c r="G1999" s="1079">
        <v>54418</v>
      </c>
      <c r="H1999" s="1080">
        <f t="shared" si="495"/>
        <v>0.99998162406512436</v>
      </c>
      <c r="I1999" s="1037"/>
    </row>
    <row r="2000" spans="1:9" ht="17.100000000000001" customHeight="1">
      <c r="A2000" s="1394"/>
      <c r="B2000" s="1395"/>
      <c r="C2000" s="1692" t="s">
        <v>574</v>
      </c>
      <c r="D2000" s="1693" t="s">
        <v>575</v>
      </c>
      <c r="E2000" s="1079">
        <v>1300</v>
      </c>
      <c r="F2000" s="1079">
        <v>3232</v>
      </c>
      <c r="G2000" s="1079">
        <v>3206</v>
      </c>
      <c r="H2000" s="1080">
        <f t="shared" si="495"/>
        <v>0.9919554455445545</v>
      </c>
      <c r="I2000" s="1037"/>
    </row>
    <row r="2001" spans="1:9" ht="17.100000000000001" customHeight="1">
      <c r="A2001" s="1394"/>
      <c r="B2001" s="1395"/>
      <c r="C2001" s="1692" t="s">
        <v>724</v>
      </c>
      <c r="D2001" s="1693" t="s">
        <v>725</v>
      </c>
      <c r="E2001" s="1079">
        <v>500</v>
      </c>
      <c r="F2001" s="1079">
        <v>500</v>
      </c>
      <c r="G2001" s="1079">
        <v>500</v>
      </c>
      <c r="H2001" s="1080">
        <f t="shared" si="495"/>
        <v>1</v>
      </c>
      <c r="I2001" s="1037"/>
    </row>
    <row r="2002" spans="1:9" ht="17.100000000000001" customHeight="1">
      <c r="A2002" s="1394"/>
      <c r="B2002" s="1395"/>
      <c r="C2002" s="1692" t="s">
        <v>576</v>
      </c>
      <c r="D2002" s="1693" t="s">
        <v>577</v>
      </c>
      <c r="E2002" s="1079">
        <v>34000</v>
      </c>
      <c r="F2002" s="1079">
        <v>42304</v>
      </c>
      <c r="G2002" s="1079">
        <v>42303</v>
      </c>
      <c r="H2002" s="1080">
        <f t="shared" si="495"/>
        <v>0.99997636157337366</v>
      </c>
      <c r="I2002" s="1037"/>
    </row>
    <row r="2003" spans="1:9" ht="17.100000000000001" customHeight="1">
      <c r="A2003" s="1394"/>
      <c r="B2003" s="1395"/>
      <c r="C2003" s="1692" t="s">
        <v>24</v>
      </c>
      <c r="D2003" s="1693" t="s">
        <v>578</v>
      </c>
      <c r="E2003" s="1079">
        <v>3000</v>
      </c>
      <c r="F2003" s="1079">
        <v>2521</v>
      </c>
      <c r="G2003" s="1079">
        <v>2521</v>
      </c>
      <c r="H2003" s="1080">
        <f t="shared" si="495"/>
        <v>1</v>
      </c>
      <c r="I2003" s="1037"/>
    </row>
    <row r="2004" spans="1:9" ht="17.100000000000001" customHeight="1">
      <c r="A2004" s="1394"/>
      <c r="B2004" s="1395"/>
      <c r="C2004" s="1692" t="s">
        <v>579</v>
      </c>
      <c r="D2004" s="1693" t="s">
        <v>580</v>
      </c>
      <c r="E2004" s="1079">
        <v>1320</v>
      </c>
      <c r="F2004" s="1079">
        <v>1238</v>
      </c>
      <c r="G2004" s="1079">
        <v>1238</v>
      </c>
      <c r="H2004" s="1080">
        <f t="shared" si="495"/>
        <v>1</v>
      </c>
      <c r="I2004" s="1037"/>
    </row>
    <row r="2005" spans="1:9" ht="17.100000000000001" customHeight="1">
      <c r="A2005" s="1394"/>
      <c r="B2005" s="1395"/>
      <c r="C2005" s="1692" t="s">
        <v>25</v>
      </c>
      <c r="D2005" s="1693" t="s">
        <v>581</v>
      </c>
      <c r="E2005" s="1079">
        <v>48211</v>
      </c>
      <c r="F2005" s="1079">
        <v>82213</v>
      </c>
      <c r="G2005" s="1079">
        <v>80649</v>
      </c>
      <c r="H2005" s="1080">
        <f t="shared" si="495"/>
        <v>0.98097624463284394</v>
      </c>
      <c r="I2005" s="1037"/>
    </row>
    <row r="2006" spans="1:9" ht="16.5" customHeight="1">
      <c r="A2006" s="1394"/>
      <c r="B2006" s="1395"/>
      <c r="C2006" s="1692" t="s">
        <v>582</v>
      </c>
      <c r="D2006" s="1693" t="s">
        <v>583</v>
      </c>
      <c r="E2006" s="1079">
        <v>5800</v>
      </c>
      <c r="F2006" s="1079">
        <v>5956</v>
      </c>
      <c r="G2006" s="1079">
        <v>5955</v>
      </c>
      <c r="H2006" s="1080">
        <f t="shared" si="495"/>
        <v>0.99983210208193418</v>
      </c>
      <c r="I2006" s="1037"/>
    </row>
    <row r="2007" spans="1:9" ht="20.25" customHeight="1">
      <c r="A2007" s="1394"/>
      <c r="B2007" s="1395"/>
      <c r="C2007" s="1692" t="s">
        <v>585</v>
      </c>
      <c r="D2007" s="1693" t="s">
        <v>586</v>
      </c>
      <c r="E2007" s="1079">
        <v>65429</v>
      </c>
      <c r="F2007" s="1079">
        <v>65738</v>
      </c>
      <c r="G2007" s="1079">
        <v>65737</v>
      </c>
      <c r="H2007" s="1080">
        <f t="shared" si="495"/>
        <v>0.99998478809820801</v>
      </c>
      <c r="I2007" s="1037"/>
    </row>
    <row r="2008" spans="1:9" ht="17.100000000000001" customHeight="1">
      <c r="A2008" s="1394"/>
      <c r="B2008" s="1395"/>
      <c r="C2008" s="1692" t="s">
        <v>587</v>
      </c>
      <c r="D2008" s="1693" t="s">
        <v>588</v>
      </c>
      <c r="E2008" s="1079">
        <v>1300</v>
      </c>
      <c r="F2008" s="1079">
        <v>800</v>
      </c>
      <c r="G2008" s="1079">
        <v>782</v>
      </c>
      <c r="H2008" s="1080">
        <f t="shared" si="495"/>
        <v>0.97750000000000004</v>
      </c>
      <c r="I2008" s="1037"/>
    </row>
    <row r="2009" spans="1:9" ht="17.100000000000001" customHeight="1">
      <c r="A2009" s="1394"/>
      <c r="B2009" s="1395"/>
      <c r="C2009" s="1692" t="s">
        <v>589</v>
      </c>
      <c r="D2009" s="1693" t="s">
        <v>590</v>
      </c>
      <c r="E2009" s="1079">
        <v>7100</v>
      </c>
      <c r="F2009" s="1079">
        <v>5856</v>
      </c>
      <c r="G2009" s="1079">
        <v>5856</v>
      </c>
      <c r="H2009" s="1080">
        <f t="shared" si="495"/>
        <v>1</v>
      </c>
      <c r="I2009" s="1037"/>
    </row>
    <row r="2010" spans="1:9" ht="17.100000000000001" customHeight="1">
      <c r="A2010" s="1394"/>
      <c r="B2010" s="1395"/>
      <c r="C2010" s="1692" t="s">
        <v>591</v>
      </c>
      <c r="D2010" s="1693" t="s">
        <v>592</v>
      </c>
      <c r="E2010" s="1079">
        <v>19181</v>
      </c>
      <c r="F2010" s="1079">
        <v>20327</v>
      </c>
      <c r="G2010" s="1079">
        <v>20322</v>
      </c>
      <c r="H2010" s="1080">
        <f t="shared" si="495"/>
        <v>0.99975402174447781</v>
      </c>
      <c r="I2010" s="1037"/>
    </row>
    <row r="2011" spans="1:9" ht="17.100000000000001" customHeight="1">
      <c r="A2011" s="1394"/>
      <c r="B2011" s="1395"/>
      <c r="C2011" s="1692" t="s">
        <v>593</v>
      </c>
      <c r="D2011" s="1693" t="s">
        <v>594</v>
      </c>
      <c r="E2011" s="1079">
        <v>2760</v>
      </c>
      <c r="F2011" s="1079">
        <v>2674</v>
      </c>
      <c r="G2011" s="1079">
        <v>2674</v>
      </c>
      <c r="H2011" s="1080">
        <f t="shared" si="495"/>
        <v>1</v>
      </c>
      <c r="I2011" s="1037"/>
    </row>
    <row r="2012" spans="1:9" ht="17.100000000000001" customHeight="1">
      <c r="A2012" s="1394"/>
      <c r="B2012" s="1395"/>
      <c r="C2012" s="1692" t="s">
        <v>148</v>
      </c>
      <c r="D2012" s="1693" t="s">
        <v>601</v>
      </c>
      <c r="E2012" s="1079">
        <v>4500</v>
      </c>
      <c r="F2012" s="1079">
        <v>1546</v>
      </c>
      <c r="G2012" s="1079">
        <v>1546</v>
      </c>
      <c r="H2012" s="1080">
        <f t="shared" si="495"/>
        <v>1</v>
      </c>
      <c r="I2012" s="1037"/>
    </row>
    <row r="2013" spans="1:9" ht="17.100000000000001" customHeight="1">
      <c r="A2013" s="1394"/>
      <c r="B2013" s="1395"/>
      <c r="C2013" s="1213"/>
      <c r="D2013" s="1713"/>
      <c r="E2013" s="1215"/>
      <c r="F2013" s="1215"/>
      <c r="G2013" s="1215"/>
      <c r="H2013" s="1216"/>
      <c r="I2013" s="1037"/>
    </row>
    <row r="2014" spans="1:9" ht="17.100000000000001" customHeight="1">
      <c r="A2014" s="1394"/>
      <c r="B2014" s="1395"/>
      <c r="C2014" s="2147" t="s">
        <v>602</v>
      </c>
      <c r="D2014" s="2147"/>
      <c r="E2014" s="1483">
        <f t="shared" ref="E2014:G2014" si="497">E2015</f>
        <v>39310</v>
      </c>
      <c r="F2014" s="1483">
        <f t="shared" si="497"/>
        <v>53208</v>
      </c>
      <c r="G2014" s="1483">
        <f t="shared" si="497"/>
        <v>53207</v>
      </c>
      <c r="H2014" s="1485">
        <f t="shared" si="495"/>
        <v>0.9999812058337092</v>
      </c>
      <c r="I2014" s="1037"/>
    </row>
    <row r="2015" spans="1:9" ht="18" customHeight="1">
      <c r="A2015" s="1394"/>
      <c r="B2015" s="1395"/>
      <c r="C2015" s="1714" t="s">
        <v>603</v>
      </c>
      <c r="D2015" s="1715" t="s">
        <v>604</v>
      </c>
      <c r="E2015" s="1696">
        <v>39310</v>
      </c>
      <c r="F2015" s="1696">
        <v>53208</v>
      </c>
      <c r="G2015" s="1696">
        <v>53207</v>
      </c>
      <c r="H2015" s="1697">
        <f t="shared" si="495"/>
        <v>0.9999812058337092</v>
      </c>
      <c r="I2015" s="1037"/>
    </row>
    <row r="2016" spans="1:9" ht="18" customHeight="1">
      <c r="A2016" s="1394"/>
      <c r="B2016" s="1395"/>
      <c r="C2016" s="1561"/>
      <c r="D2016" s="1562"/>
      <c r="E2016" s="1079"/>
      <c r="F2016" s="1607"/>
      <c r="G2016" s="1079"/>
      <c r="H2016" s="1080"/>
      <c r="I2016" s="1037"/>
    </row>
    <row r="2017" spans="1:9" ht="18" customHeight="1">
      <c r="A2017" s="1394"/>
      <c r="B2017" s="1395"/>
      <c r="C2017" s="2142" t="s">
        <v>616</v>
      </c>
      <c r="D2017" s="2142"/>
      <c r="E2017" s="1079">
        <f>E2018+E2019+E2020</f>
        <v>0</v>
      </c>
      <c r="F2017" s="1079">
        <f t="shared" ref="F2017:G2017" si="498">F2018+F2019+F2020</f>
        <v>31001</v>
      </c>
      <c r="G2017" s="1079">
        <f t="shared" si="498"/>
        <v>31000</v>
      </c>
      <c r="H2017" s="1080">
        <f t="shared" ref="H2017:H2020" si="499">G2017/F2017</f>
        <v>0.99996774297603308</v>
      </c>
      <c r="I2017" s="1037"/>
    </row>
    <row r="2018" spans="1:9" ht="18" customHeight="1">
      <c r="A2018" s="1394"/>
      <c r="B2018" s="1395"/>
      <c r="C2018" s="1703" t="s">
        <v>25</v>
      </c>
      <c r="D2018" s="1567" t="s">
        <v>581</v>
      </c>
      <c r="E2018" s="1079">
        <v>0</v>
      </c>
      <c r="F2018" s="1079">
        <v>1000</v>
      </c>
      <c r="G2018" s="1079">
        <v>1000</v>
      </c>
      <c r="H2018" s="1080">
        <f t="shared" si="499"/>
        <v>1</v>
      </c>
      <c r="I2018" s="1037"/>
    </row>
    <row r="2019" spans="1:9" ht="18" customHeight="1">
      <c r="A2019" s="1394"/>
      <c r="B2019" s="1395"/>
      <c r="C2019" s="1692" t="s">
        <v>672</v>
      </c>
      <c r="D2019" s="1567" t="s">
        <v>581</v>
      </c>
      <c r="E2019" s="1079">
        <v>0</v>
      </c>
      <c r="F2019" s="1079">
        <v>25500</v>
      </c>
      <c r="G2019" s="1079">
        <v>25500</v>
      </c>
      <c r="H2019" s="1080">
        <f t="shared" si="499"/>
        <v>1</v>
      </c>
      <c r="I2019" s="1037"/>
    </row>
    <row r="2020" spans="1:9" ht="18" customHeight="1">
      <c r="A2020" s="1394"/>
      <c r="B2020" s="1395"/>
      <c r="C2020" s="1692" t="s">
        <v>638</v>
      </c>
      <c r="D2020" s="1567" t="s">
        <v>581</v>
      </c>
      <c r="E2020" s="1079">
        <v>0</v>
      </c>
      <c r="F2020" s="1079">
        <v>4501</v>
      </c>
      <c r="G2020" s="1079">
        <v>4500</v>
      </c>
      <c r="H2020" s="1080">
        <f t="shared" si="499"/>
        <v>0.99977782714952235</v>
      </c>
      <c r="I2020" s="1037"/>
    </row>
    <row r="2021" spans="1:9" ht="18" customHeight="1">
      <c r="A2021" s="1394"/>
      <c r="B2021" s="1395"/>
      <c r="C2021" s="1273"/>
      <c r="D2021" s="1716"/>
      <c r="E2021" s="1103"/>
      <c r="F2021" s="1717"/>
      <c r="G2021" s="1103"/>
      <c r="H2021" s="1104"/>
      <c r="I2021" s="1037"/>
    </row>
    <row r="2022" spans="1:9" ht="18" customHeight="1">
      <c r="A2022" s="1394"/>
      <c r="B2022" s="1395"/>
      <c r="C2022" s="2148" t="s">
        <v>605</v>
      </c>
      <c r="D2022" s="2148"/>
      <c r="E2022" s="1063">
        <f>E2023</f>
        <v>0</v>
      </c>
      <c r="F2022" s="1063">
        <f t="shared" ref="F2022:G2023" si="500">F2023</f>
        <v>63219</v>
      </c>
      <c r="G2022" s="1063">
        <f t="shared" si="500"/>
        <v>63219</v>
      </c>
      <c r="H2022" s="1064">
        <f t="shared" ref="H2022:H2024" si="501">G2022/F2022</f>
        <v>1</v>
      </c>
      <c r="I2022" s="1037"/>
    </row>
    <row r="2023" spans="1:9" ht="18" customHeight="1">
      <c r="A2023" s="1394"/>
      <c r="B2023" s="1395"/>
      <c r="C2023" s="2125" t="s">
        <v>606</v>
      </c>
      <c r="D2023" s="2126"/>
      <c r="E2023" s="1079">
        <f>E2024</f>
        <v>0</v>
      </c>
      <c r="F2023" s="1079">
        <f t="shared" si="500"/>
        <v>63219</v>
      </c>
      <c r="G2023" s="1079">
        <f t="shared" si="500"/>
        <v>63219</v>
      </c>
      <c r="H2023" s="1080">
        <f t="shared" si="501"/>
        <v>1</v>
      </c>
      <c r="I2023" s="1037"/>
    </row>
    <row r="2024" spans="1:9" ht="18" customHeight="1" thickBot="1">
      <c r="A2024" s="1394"/>
      <c r="B2024" s="1395"/>
      <c r="C2024" s="1718" t="s">
        <v>144</v>
      </c>
      <c r="D2024" s="1126" t="s">
        <v>650</v>
      </c>
      <c r="E2024" s="1079">
        <v>0</v>
      </c>
      <c r="F2024" s="1079">
        <v>63219</v>
      </c>
      <c r="G2024" s="1079">
        <v>63219</v>
      </c>
      <c r="H2024" s="1080">
        <f t="shared" si="501"/>
        <v>1</v>
      </c>
      <c r="I2024" s="1037"/>
    </row>
    <row r="2025" spans="1:9" ht="17.100000000000001" customHeight="1" thickBot="1">
      <c r="A2025" s="1394"/>
      <c r="B2025" s="1144" t="s">
        <v>968</v>
      </c>
      <c r="C2025" s="1145"/>
      <c r="D2025" s="1146" t="s">
        <v>11</v>
      </c>
      <c r="E2025" s="1147">
        <f t="shared" ref="E2025:G2026" si="502">E2026</f>
        <v>5000</v>
      </c>
      <c r="F2025" s="1604">
        <f t="shared" si="502"/>
        <v>12618</v>
      </c>
      <c r="G2025" s="1147">
        <f t="shared" si="502"/>
        <v>12097</v>
      </c>
      <c r="H2025" s="1148">
        <f t="shared" si="495"/>
        <v>0.95870977967982252</v>
      </c>
      <c r="I2025" s="1037"/>
    </row>
    <row r="2026" spans="1:9" ht="17.100000000000001" customHeight="1">
      <c r="A2026" s="1394"/>
      <c r="B2026" s="1395"/>
      <c r="C2026" s="2112" t="s">
        <v>560</v>
      </c>
      <c r="D2026" s="2112"/>
      <c r="E2026" s="1063">
        <f t="shared" si="502"/>
        <v>5000</v>
      </c>
      <c r="F2026" s="1606">
        <f t="shared" si="502"/>
        <v>12618</v>
      </c>
      <c r="G2026" s="1371">
        <f t="shared" si="502"/>
        <v>12097</v>
      </c>
      <c r="H2026" s="1372">
        <f t="shared" si="495"/>
        <v>0.95870977967982252</v>
      </c>
      <c r="I2026" s="1037"/>
    </row>
    <row r="2027" spans="1:9" ht="17.100000000000001" customHeight="1">
      <c r="A2027" s="1394"/>
      <c r="B2027" s="1395"/>
      <c r="C2027" s="2142" t="s">
        <v>561</v>
      </c>
      <c r="D2027" s="2142"/>
      <c r="E2027" s="1079">
        <f>E2031+E2028</f>
        <v>5000</v>
      </c>
      <c r="F2027" s="1079">
        <f t="shared" ref="F2027:G2027" si="503">F2031+F2028</f>
        <v>12618</v>
      </c>
      <c r="G2027" s="1079">
        <f t="shared" si="503"/>
        <v>12097</v>
      </c>
      <c r="H2027" s="1609">
        <f t="shared" si="495"/>
        <v>0.95870977967982252</v>
      </c>
      <c r="I2027" s="1037"/>
    </row>
    <row r="2028" spans="1:9" ht="17.100000000000001" customHeight="1">
      <c r="A2028" s="1394"/>
      <c r="B2028" s="1395"/>
      <c r="C2028" s="2143" t="s">
        <v>562</v>
      </c>
      <c r="D2028" s="2143"/>
      <c r="E2028" s="1115">
        <f>E2029</f>
        <v>0</v>
      </c>
      <c r="F2028" s="1115">
        <f t="shared" ref="F2028:G2028" si="504">F2029</f>
        <v>2000</v>
      </c>
      <c r="G2028" s="1115">
        <f t="shared" si="504"/>
        <v>2000</v>
      </c>
      <c r="H2028" s="1116">
        <f t="shared" si="495"/>
        <v>1</v>
      </c>
      <c r="I2028" s="1037"/>
    </row>
    <row r="2029" spans="1:9" ht="17.100000000000001" customHeight="1">
      <c r="A2029" s="1394"/>
      <c r="B2029" s="1395"/>
      <c r="C2029" s="1692" t="s">
        <v>568</v>
      </c>
      <c r="D2029" s="1693" t="s">
        <v>569</v>
      </c>
      <c r="E2029" s="1079">
        <v>0</v>
      </c>
      <c r="F2029" s="1079">
        <v>2000</v>
      </c>
      <c r="G2029" s="1079">
        <v>2000</v>
      </c>
      <c r="H2029" s="1080">
        <f t="shared" si="495"/>
        <v>1</v>
      </c>
      <c r="I2029" s="1037"/>
    </row>
    <row r="2030" spans="1:9" ht="17.100000000000001" customHeight="1">
      <c r="A2030" s="1394"/>
      <c r="B2030" s="1395"/>
      <c r="C2030" s="1704"/>
      <c r="D2030" s="1704"/>
      <c r="E2030" s="1079"/>
      <c r="F2030" s="1607"/>
      <c r="G2030" s="1608"/>
      <c r="H2030" s="1609"/>
      <c r="I2030" s="1037"/>
    </row>
    <row r="2031" spans="1:9" ht="17.100000000000001" customHeight="1">
      <c r="A2031" s="1394"/>
      <c r="B2031" s="1395"/>
      <c r="C2031" s="2144" t="s">
        <v>570</v>
      </c>
      <c r="D2031" s="2144"/>
      <c r="E2031" s="1696">
        <f>SUM(E2032:E2033)</f>
        <v>5000</v>
      </c>
      <c r="F2031" s="1696">
        <f t="shared" ref="F2031:G2031" si="505">SUM(F2032:F2033)</f>
        <v>10618</v>
      </c>
      <c r="G2031" s="1696">
        <f t="shared" si="505"/>
        <v>10097</v>
      </c>
      <c r="H2031" s="1719">
        <f t="shared" si="495"/>
        <v>0.95093237897909211</v>
      </c>
      <c r="I2031" s="1037"/>
    </row>
    <row r="2032" spans="1:9" ht="17.100000000000001" customHeight="1">
      <c r="A2032" s="1394"/>
      <c r="B2032" s="1395"/>
      <c r="C2032" s="1593" t="s">
        <v>143</v>
      </c>
      <c r="D2032" s="1720" t="s">
        <v>573</v>
      </c>
      <c r="E2032" s="1696">
        <v>5000</v>
      </c>
      <c r="F2032" s="1721">
        <v>7158</v>
      </c>
      <c r="G2032" s="1722">
        <v>6637</v>
      </c>
      <c r="H2032" s="1719">
        <f t="shared" si="495"/>
        <v>0.92721430567197538</v>
      </c>
      <c r="I2032" s="1037"/>
    </row>
    <row r="2033" spans="1:9" ht="17.100000000000001" customHeight="1" thickBot="1">
      <c r="A2033" s="1394"/>
      <c r="B2033" s="1395"/>
      <c r="C2033" s="1723" t="s">
        <v>25</v>
      </c>
      <c r="D2033" s="1724" t="s">
        <v>581</v>
      </c>
      <c r="E2033" s="1089">
        <v>0</v>
      </c>
      <c r="F2033" s="1725">
        <v>3460</v>
      </c>
      <c r="G2033" s="1725">
        <v>3460</v>
      </c>
      <c r="H2033" s="1090">
        <f t="shared" si="495"/>
        <v>1</v>
      </c>
      <c r="I2033" s="1037"/>
    </row>
    <row r="2034" spans="1:9" ht="17.100000000000001" customHeight="1" thickBot="1">
      <c r="A2034" s="1051" t="s">
        <v>91</v>
      </c>
      <c r="B2034" s="1168"/>
      <c r="C2034" s="1169"/>
      <c r="D2034" s="1170" t="s">
        <v>969</v>
      </c>
      <c r="E2034" s="1171">
        <f>E2035+E2039+E2058</f>
        <v>3110091</v>
      </c>
      <c r="F2034" s="1171">
        <f t="shared" ref="F2034:G2034" si="506">F2035+F2039+F2058</f>
        <v>3808591</v>
      </c>
      <c r="G2034" s="1171">
        <f t="shared" si="506"/>
        <v>3165776</v>
      </c>
      <c r="H2034" s="1172">
        <f t="shared" si="495"/>
        <v>0.8312197345422494</v>
      </c>
      <c r="I2034" s="1037"/>
    </row>
    <row r="2035" spans="1:9" ht="17.100000000000001" customHeight="1" thickBot="1">
      <c r="A2035" s="1415"/>
      <c r="B2035" s="1144" t="s">
        <v>970</v>
      </c>
      <c r="C2035" s="1145"/>
      <c r="D2035" s="1146" t="s">
        <v>92</v>
      </c>
      <c r="E2035" s="1219">
        <f>E2036</f>
        <v>0</v>
      </c>
      <c r="F2035" s="1219">
        <f t="shared" ref="F2035:G2037" si="507">F2036</f>
        <v>630000</v>
      </c>
      <c r="G2035" s="1219">
        <f t="shared" si="507"/>
        <v>27950</v>
      </c>
      <c r="H2035" s="1220">
        <f t="shared" si="495"/>
        <v>4.4365079365079364E-2</v>
      </c>
      <c r="I2035" s="1037"/>
    </row>
    <row r="2036" spans="1:9" ht="17.100000000000001" customHeight="1">
      <c r="A2036" s="1415"/>
      <c r="B2036" s="1395"/>
      <c r="C2036" s="2112" t="s">
        <v>605</v>
      </c>
      <c r="D2036" s="2113"/>
      <c r="E2036" s="1726">
        <f>E2037</f>
        <v>0</v>
      </c>
      <c r="F2036" s="1726">
        <f t="shared" si="507"/>
        <v>630000</v>
      </c>
      <c r="G2036" s="1726">
        <f>G2037</f>
        <v>27950</v>
      </c>
      <c r="H2036" s="1727">
        <f t="shared" si="495"/>
        <v>4.4365079365079364E-2</v>
      </c>
      <c r="I2036" s="1037"/>
    </row>
    <row r="2037" spans="1:9" ht="17.100000000000001" customHeight="1">
      <c r="A2037" s="1415"/>
      <c r="B2037" s="1395"/>
      <c r="C2037" s="2125" t="s">
        <v>606</v>
      </c>
      <c r="D2037" s="2126"/>
      <c r="E2037" s="1710">
        <f>E2038</f>
        <v>0</v>
      </c>
      <c r="F2037" s="1710">
        <f t="shared" si="507"/>
        <v>630000</v>
      </c>
      <c r="G2037" s="1710">
        <f t="shared" si="507"/>
        <v>27950</v>
      </c>
      <c r="H2037" s="1728">
        <f t="shared" si="495"/>
        <v>4.4365079365079364E-2</v>
      </c>
      <c r="I2037" s="1037"/>
    </row>
    <row r="2038" spans="1:9" ht="40.5" customHeight="1" thickBot="1">
      <c r="A2038" s="1415"/>
      <c r="B2038" s="1395"/>
      <c r="C2038" s="1718" t="s">
        <v>22</v>
      </c>
      <c r="D2038" s="1126" t="s">
        <v>711</v>
      </c>
      <c r="E2038" s="1270">
        <v>0</v>
      </c>
      <c r="F2038" s="1729">
        <v>630000</v>
      </c>
      <c r="G2038" s="1730">
        <v>27950</v>
      </c>
      <c r="H2038" s="1731">
        <f t="shared" si="495"/>
        <v>4.4365079365079364E-2</v>
      </c>
      <c r="I2038" s="1037"/>
    </row>
    <row r="2039" spans="1:9" ht="17.100000000000001" customHeight="1" thickBot="1">
      <c r="A2039" s="2127"/>
      <c r="B2039" s="1144" t="s">
        <v>93</v>
      </c>
      <c r="C2039" s="1732"/>
      <c r="D2039" s="1733" t="s">
        <v>94</v>
      </c>
      <c r="E2039" s="1147">
        <f>E2040</f>
        <v>3110091</v>
      </c>
      <c r="F2039" s="1604">
        <f t="shared" ref="F2039:G2039" si="508">F2040</f>
        <v>3148591</v>
      </c>
      <c r="G2039" s="1403">
        <f t="shared" si="508"/>
        <v>3117826</v>
      </c>
      <c r="H2039" s="1404">
        <f t="shared" si="495"/>
        <v>0.9902289627328541</v>
      </c>
      <c r="I2039" s="1037"/>
    </row>
    <row r="2040" spans="1:9" ht="17.100000000000001" customHeight="1">
      <c r="A2040" s="2127"/>
      <c r="B2040" s="1734"/>
      <c r="C2040" s="2128" t="s">
        <v>560</v>
      </c>
      <c r="D2040" s="2129"/>
      <c r="E2040" s="1063">
        <f t="shared" ref="E2040:G2040" si="509">E2041+E2050+E2055</f>
        <v>3110091</v>
      </c>
      <c r="F2040" s="1606">
        <f t="shared" si="509"/>
        <v>3148591</v>
      </c>
      <c r="G2040" s="1371">
        <f t="shared" si="509"/>
        <v>3117826</v>
      </c>
      <c r="H2040" s="1372">
        <f t="shared" si="495"/>
        <v>0.9902289627328541</v>
      </c>
      <c r="I2040" s="1037"/>
    </row>
    <row r="2041" spans="1:9" ht="17.100000000000001" customHeight="1">
      <c r="A2041" s="2127"/>
      <c r="B2041" s="1440"/>
      <c r="C2041" s="2130" t="s">
        <v>561</v>
      </c>
      <c r="D2041" s="2131"/>
      <c r="E2041" s="1735">
        <f t="shared" ref="E2041:G2041" si="510">E2042+E2046</f>
        <v>34000</v>
      </c>
      <c r="F2041" s="1736">
        <f t="shared" si="510"/>
        <v>31300</v>
      </c>
      <c r="G2041" s="1737">
        <f t="shared" si="510"/>
        <v>30018</v>
      </c>
      <c r="H2041" s="1738">
        <f t="shared" si="495"/>
        <v>0.95904153354632593</v>
      </c>
      <c r="I2041" s="1037"/>
    </row>
    <row r="2042" spans="1:9" ht="17.100000000000001" customHeight="1">
      <c r="A2042" s="2127"/>
      <c r="B2042" s="1440"/>
      <c r="C2042" s="2132" t="s">
        <v>562</v>
      </c>
      <c r="D2042" s="2133"/>
      <c r="E2042" s="1735">
        <f t="shared" ref="E2042:G2042" si="511">SUM(E2043:E2044)</f>
        <v>9000</v>
      </c>
      <c r="F2042" s="1736">
        <f t="shared" si="511"/>
        <v>7800</v>
      </c>
      <c r="G2042" s="1737">
        <f t="shared" si="511"/>
        <v>7344</v>
      </c>
      <c r="H2042" s="1738">
        <f t="shared" si="495"/>
        <v>0.94153846153846155</v>
      </c>
      <c r="I2042" s="1037"/>
    </row>
    <row r="2043" spans="1:9" ht="17.100000000000001" customHeight="1">
      <c r="A2043" s="2127"/>
      <c r="B2043" s="1440"/>
      <c r="C2043" s="1739" t="s">
        <v>146</v>
      </c>
      <c r="D2043" s="1740" t="s">
        <v>566</v>
      </c>
      <c r="E2043" s="1735">
        <v>8000</v>
      </c>
      <c r="F2043" s="1736">
        <v>7500</v>
      </c>
      <c r="G2043" s="1737">
        <v>7143</v>
      </c>
      <c r="H2043" s="1738">
        <f t="shared" si="495"/>
        <v>0.95240000000000002</v>
      </c>
      <c r="I2043" s="1037"/>
    </row>
    <row r="2044" spans="1:9" ht="17.100000000000001" customHeight="1">
      <c r="A2044" s="2127"/>
      <c r="B2044" s="1440"/>
      <c r="C2044" s="1739" t="s">
        <v>147</v>
      </c>
      <c r="D2044" s="1740" t="s">
        <v>567</v>
      </c>
      <c r="E2044" s="1735">
        <v>1000</v>
      </c>
      <c r="F2044" s="1736">
        <v>300</v>
      </c>
      <c r="G2044" s="1737">
        <v>201</v>
      </c>
      <c r="H2044" s="1738">
        <f t="shared" si="495"/>
        <v>0.67</v>
      </c>
    </row>
    <row r="2045" spans="1:9" ht="17.100000000000001" customHeight="1">
      <c r="A2045" s="2127"/>
      <c r="B2045" s="1440"/>
      <c r="C2045" s="1213"/>
      <c r="D2045" s="1214"/>
      <c r="E2045" s="1215"/>
      <c r="F2045" s="1741"/>
      <c r="G2045" s="1741"/>
      <c r="H2045" s="1742"/>
    </row>
    <row r="2046" spans="1:9" ht="17.100000000000001" customHeight="1">
      <c r="A2046" s="2127"/>
      <c r="B2046" s="1440"/>
      <c r="C2046" s="2134" t="s">
        <v>570</v>
      </c>
      <c r="D2046" s="2135"/>
      <c r="E2046" s="1103">
        <f t="shared" ref="E2046:G2046" si="512">SUM(E2047:E2048)</f>
        <v>25000</v>
      </c>
      <c r="F2046" s="1103">
        <f t="shared" si="512"/>
        <v>23500</v>
      </c>
      <c r="G2046" s="1103">
        <f t="shared" si="512"/>
        <v>22674</v>
      </c>
      <c r="H2046" s="1104">
        <f t="shared" si="495"/>
        <v>0.96485106382978725</v>
      </c>
    </row>
    <row r="2047" spans="1:9" ht="17.100000000000001" customHeight="1">
      <c r="A2047" s="2127"/>
      <c r="B2047" s="1440"/>
      <c r="C2047" s="1692" t="s">
        <v>143</v>
      </c>
      <c r="D2047" s="1693" t="s">
        <v>573</v>
      </c>
      <c r="E2047" s="1079">
        <v>21000</v>
      </c>
      <c r="F2047" s="1607">
        <v>21000</v>
      </c>
      <c r="G2047" s="1608">
        <v>20174</v>
      </c>
      <c r="H2047" s="1609">
        <f t="shared" si="495"/>
        <v>0.96066666666666667</v>
      </c>
    </row>
    <row r="2048" spans="1:9" ht="17.100000000000001" customHeight="1">
      <c r="A2048" s="2127"/>
      <c r="B2048" s="1440"/>
      <c r="C2048" s="1694" t="s">
        <v>25</v>
      </c>
      <c r="D2048" s="1695" t="s">
        <v>581</v>
      </c>
      <c r="E2048" s="1696">
        <v>4000</v>
      </c>
      <c r="F2048" s="1721">
        <v>2500</v>
      </c>
      <c r="G2048" s="1722">
        <v>2500</v>
      </c>
      <c r="H2048" s="1719">
        <f t="shared" si="495"/>
        <v>1</v>
      </c>
    </row>
    <row r="2049" spans="1:8" ht="17.100000000000001" customHeight="1">
      <c r="A2049" s="2127"/>
      <c r="B2049" s="1440"/>
      <c r="C2049" s="1455"/>
      <c r="D2049" s="1455"/>
      <c r="E2049" s="1231"/>
      <c r="F2049" s="1743"/>
      <c r="G2049" s="1743"/>
      <c r="H2049" s="1744"/>
    </row>
    <row r="2050" spans="1:8" ht="17.100000000000001" customHeight="1">
      <c r="A2050" s="2127"/>
      <c r="B2050" s="1440"/>
      <c r="C2050" s="2136" t="s">
        <v>971</v>
      </c>
      <c r="D2050" s="2137"/>
      <c r="E2050" s="1079">
        <f>SUM(E2051:E2053)</f>
        <v>2546091</v>
      </c>
      <c r="F2050" s="1607">
        <f t="shared" ref="F2050:G2050" si="513">SUM(F2051:F2053)</f>
        <v>2585741</v>
      </c>
      <c r="G2050" s="1608">
        <f t="shared" si="513"/>
        <v>2556258</v>
      </c>
      <c r="H2050" s="1609">
        <f t="shared" si="495"/>
        <v>0.98859785260782107</v>
      </c>
    </row>
    <row r="2051" spans="1:8" ht="45" customHeight="1">
      <c r="A2051" s="2127"/>
      <c r="B2051" s="1440"/>
      <c r="C2051" s="1692" t="s">
        <v>125</v>
      </c>
      <c r="D2051" s="1693" t="s">
        <v>656</v>
      </c>
      <c r="E2051" s="1079">
        <v>160000</v>
      </c>
      <c r="F2051" s="1607">
        <v>172713</v>
      </c>
      <c r="G2051" s="1608">
        <v>163992</v>
      </c>
      <c r="H2051" s="1609">
        <f t="shared" si="495"/>
        <v>0.94950582758680591</v>
      </c>
    </row>
    <row r="2052" spans="1:8" ht="32.25" customHeight="1">
      <c r="A2052" s="2127"/>
      <c r="B2052" s="1440"/>
      <c r="C2052" s="1694" t="s">
        <v>19</v>
      </c>
      <c r="D2052" s="1695" t="s">
        <v>691</v>
      </c>
      <c r="E2052" s="1696">
        <v>0</v>
      </c>
      <c r="F2052" s="1721">
        <v>20000</v>
      </c>
      <c r="G2052" s="1722">
        <v>20000</v>
      </c>
      <c r="H2052" s="1719">
        <f t="shared" si="495"/>
        <v>1</v>
      </c>
    </row>
    <row r="2053" spans="1:8" ht="25.5">
      <c r="A2053" s="2127"/>
      <c r="B2053" s="1440"/>
      <c r="C2053" s="1694" t="s">
        <v>972</v>
      </c>
      <c r="D2053" s="1745" t="s">
        <v>973</v>
      </c>
      <c r="E2053" s="1696">
        <v>2386091</v>
      </c>
      <c r="F2053" s="1721">
        <v>2393028</v>
      </c>
      <c r="G2053" s="1722">
        <v>2372266</v>
      </c>
      <c r="H2053" s="1719">
        <f t="shared" si="495"/>
        <v>0.99132396277853829</v>
      </c>
    </row>
    <row r="2054" spans="1:8" ht="17.100000000000001" customHeight="1">
      <c r="A2054" s="2127"/>
      <c r="B2054" s="1440"/>
      <c r="C2054" s="2138"/>
      <c r="D2054" s="2139"/>
      <c r="E2054" s="1079"/>
      <c r="F2054" s="1746"/>
      <c r="G2054" s="1747"/>
      <c r="H2054" s="1748"/>
    </row>
    <row r="2055" spans="1:8" ht="17.100000000000001" customHeight="1">
      <c r="A2055" s="2127"/>
      <c r="B2055" s="1440"/>
      <c r="C2055" s="2140" t="s">
        <v>602</v>
      </c>
      <c r="D2055" s="2141"/>
      <c r="E2055" s="1079">
        <f>SUM(E2056:E2057)</f>
        <v>530000</v>
      </c>
      <c r="F2055" s="1079">
        <f t="shared" ref="F2055:G2055" si="514">SUM(F2056:F2057)</f>
        <v>531550</v>
      </c>
      <c r="G2055" s="1079">
        <f t="shared" si="514"/>
        <v>531550</v>
      </c>
      <c r="H2055" s="1080">
        <f t="shared" si="495"/>
        <v>1</v>
      </c>
    </row>
    <row r="2056" spans="1:8" ht="17.100000000000001" customHeight="1">
      <c r="A2056" s="2127"/>
      <c r="B2056" s="1440"/>
      <c r="C2056" s="1749" t="s">
        <v>860</v>
      </c>
      <c r="D2056" s="1750" t="s">
        <v>861</v>
      </c>
      <c r="E2056" s="1751">
        <v>80000</v>
      </c>
      <c r="F2056" s="1752">
        <v>84250</v>
      </c>
      <c r="G2056" s="1753">
        <v>84250</v>
      </c>
      <c r="H2056" s="1754">
        <f t="shared" si="495"/>
        <v>1</v>
      </c>
    </row>
    <row r="2057" spans="1:8" ht="17.100000000000001" customHeight="1" thickBot="1">
      <c r="A2057" s="2127"/>
      <c r="B2057" s="1440"/>
      <c r="C2057" s="1561" t="s">
        <v>871</v>
      </c>
      <c r="D2057" s="1562" t="s">
        <v>872</v>
      </c>
      <c r="E2057" s="1079">
        <v>450000</v>
      </c>
      <c r="F2057" s="1607">
        <v>447300</v>
      </c>
      <c r="G2057" s="1608">
        <v>447300</v>
      </c>
      <c r="H2057" s="1609">
        <f t="shared" si="495"/>
        <v>1</v>
      </c>
    </row>
    <row r="2058" spans="1:8" ht="17.100000000000001" customHeight="1" thickBot="1">
      <c r="A2058" s="1661"/>
      <c r="B2058" s="1144" t="s">
        <v>95</v>
      </c>
      <c r="C2058" s="1755"/>
      <c r="D2058" s="1756" t="s">
        <v>11</v>
      </c>
      <c r="E2058" s="1245">
        <f>E2059</f>
        <v>0</v>
      </c>
      <c r="F2058" s="1245">
        <f t="shared" ref="F2058:G2060" si="515">F2059</f>
        <v>30000</v>
      </c>
      <c r="G2058" s="1245">
        <f t="shared" si="515"/>
        <v>20000</v>
      </c>
      <c r="H2058" s="1246">
        <f t="shared" si="495"/>
        <v>0.66666666666666663</v>
      </c>
    </row>
    <row r="2059" spans="1:8" ht="17.100000000000001" customHeight="1">
      <c r="A2059" s="1661"/>
      <c r="B2059" s="1440"/>
      <c r="C2059" s="2112" t="s">
        <v>605</v>
      </c>
      <c r="D2059" s="2113"/>
      <c r="E2059" s="1568">
        <f>E2060</f>
        <v>0</v>
      </c>
      <c r="F2059" s="1568">
        <f t="shared" si="515"/>
        <v>30000</v>
      </c>
      <c r="G2059" s="1568">
        <f t="shared" si="515"/>
        <v>20000</v>
      </c>
      <c r="H2059" s="1528">
        <f t="shared" si="495"/>
        <v>0.66666666666666663</v>
      </c>
    </row>
    <row r="2060" spans="1:8" ht="17.100000000000001" customHeight="1">
      <c r="A2060" s="1661"/>
      <c r="B2060" s="1440"/>
      <c r="C2060" s="2114" t="s">
        <v>606</v>
      </c>
      <c r="D2060" s="2115"/>
      <c r="E2060" s="1751">
        <f>E2061</f>
        <v>0</v>
      </c>
      <c r="F2060" s="1751">
        <f t="shared" si="515"/>
        <v>30000</v>
      </c>
      <c r="G2060" s="1751">
        <f t="shared" si="515"/>
        <v>20000</v>
      </c>
      <c r="H2060" s="1757">
        <f t="shared" si="495"/>
        <v>0.66666666666666663</v>
      </c>
    </row>
    <row r="2061" spans="1:8" ht="41.25" customHeight="1" thickBot="1">
      <c r="A2061" s="1394"/>
      <c r="B2061" s="1758"/>
      <c r="C2061" s="1718" t="s">
        <v>22</v>
      </c>
      <c r="D2061" s="1126" t="s">
        <v>711</v>
      </c>
      <c r="E2061" s="1089">
        <v>0</v>
      </c>
      <c r="F2061" s="1089">
        <v>30000</v>
      </c>
      <c r="G2061" s="1089">
        <v>20000</v>
      </c>
      <c r="H2061" s="1090">
        <f t="shared" si="495"/>
        <v>0.66666666666666663</v>
      </c>
    </row>
    <row r="2062" spans="1:8" ht="17.100000000000001" customHeight="1" thickBot="1">
      <c r="A2062" s="2116" t="s">
        <v>974</v>
      </c>
      <c r="B2062" s="2117"/>
      <c r="C2062" s="2117"/>
      <c r="D2062" s="2118"/>
      <c r="E2062" s="1171">
        <f>E8+E174+E205+E243+E256+E408+E456+E481+E555+E586+E630+E955+E984+E993+E1007+E1314+E1341+E1420+E1554+E1681+E1732+E1792+E1860+E1986+E2034+E939</f>
        <v>1537602510</v>
      </c>
      <c r="F2062" s="1759">
        <f>F8+F174+F205+F243+F256+F408+F456+F481+F555+F586+F630+F955+F984+F993+F1007+F1314+F1341+F1420+F1554+F1681+F1732+F1792+F1860+F1986+F2034+F939</f>
        <v>1293366035</v>
      </c>
      <c r="G2062" s="1759">
        <f>G8+G174+G205+G243+G256+G408+G456+G481+G555+G586+G630+G955+G984+G993+G1007+G1314+G1341+G1420+G1554+G1681+G1732+G1792+G1860+G1986+G2034+G939</f>
        <v>1143048893</v>
      </c>
      <c r="H2062" s="1760">
        <f t="shared" si="495"/>
        <v>0.88377834431070401</v>
      </c>
    </row>
    <row r="2063" spans="1:8" ht="12.75" customHeight="1" thickBot="1">
      <c r="A2063" s="2119"/>
      <c r="B2063" s="2120"/>
      <c r="C2063" s="2120"/>
      <c r="D2063" s="2120"/>
      <c r="E2063" s="1761"/>
      <c r="F2063" s="1761"/>
      <c r="G2063" s="1761"/>
      <c r="H2063" s="1762"/>
    </row>
    <row r="2064" spans="1:8" ht="17.100000000000001" customHeight="1" thickBot="1">
      <c r="A2064" s="2121" t="s">
        <v>552</v>
      </c>
      <c r="B2064" s="2122"/>
      <c r="C2064" s="2122"/>
      <c r="D2064" s="2122"/>
      <c r="E2064" s="1763"/>
      <c r="F2064" s="1763"/>
      <c r="G2064" s="1763"/>
      <c r="H2064" s="1764"/>
    </row>
    <row r="2065" spans="1:11" ht="21" customHeight="1" thickBot="1">
      <c r="A2065" s="2123" t="s">
        <v>975</v>
      </c>
      <c r="B2065" s="2124"/>
      <c r="C2065" s="2124"/>
      <c r="D2065" s="2124"/>
      <c r="E2065" s="1765">
        <f>E2066+E2069+E2070+E2071+E2072+E2073</f>
        <v>653943393</v>
      </c>
      <c r="F2065" s="1765">
        <f>F2066+F2069+F2070+F2071+F2072+F2073</f>
        <v>653385664</v>
      </c>
      <c r="G2065" s="1765">
        <f>G2066+G2069+G2070+G2071+G2072+G2073</f>
        <v>587149014</v>
      </c>
      <c r="H2065" s="1766">
        <f t="shared" si="495"/>
        <v>0.89862549234015643</v>
      </c>
      <c r="J2065" s="1767"/>
      <c r="K2065" s="1767"/>
    </row>
    <row r="2066" spans="1:11" ht="17.100000000000001" customHeight="1">
      <c r="A2066" s="2104" t="s">
        <v>976</v>
      </c>
      <c r="B2066" s="2105"/>
      <c r="C2066" s="2105"/>
      <c r="D2066" s="2106"/>
      <c r="E2066" s="1768">
        <f>E2067+E2068</f>
        <v>250389537</v>
      </c>
      <c r="F2066" s="1768">
        <f>F2067+F2068</f>
        <v>246890663</v>
      </c>
      <c r="G2066" s="1768">
        <f t="shared" ref="G2066" si="516">G2067+G2068</f>
        <v>233141312</v>
      </c>
      <c r="H2066" s="1769">
        <f t="shared" si="495"/>
        <v>0.94430995958725261</v>
      </c>
      <c r="J2066" s="1767"/>
    </row>
    <row r="2067" spans="1:11" ht="19.5" customHeight="1">
      <c r="A2067" s="2110" t="s">
        <v>977</v>
      </c>
      <c r="B2067" s="2108"/>
      <c r="C2067" s="2108"/>
      <c r="D2067" s="2109"/>
      <c r="E2067" s="1770">
        <f>E12+E48+E73+E247+E318+E485+E520+E634+E646+E665+E756+E767+E847+E864+E1015+E1046+E1068+E1085+E1138+E1207+E1279+E1415+E1435+E1568+E1685+E1757+E1818+E1943+E1990+E2042+E1258+E157+E392+E436+E831+E943+E1837+E2028</f>
        <v>129126152</v>
      </c>
      <c r="F2067" s="1770">
        <f>F12+F48+F73+F247+F318+F485+F520+F634+F646+F665+F756+F767+F847+F864+F1015+F1046+F1068+F1085+F1138+F1207+F1279+F1415+F1435+F1568+F1685+F1757+F1818+F1943+F1990+F2042+F1258+F157+F392+F436+F831+F943+F1837+F2028</f>
        <v>132583162</v>
      </c>
      <c r="G2067" s="1770">
        <f>G12+G48+G73+G247+G318+G485+G520+G634+G646+G665+G756+G767+G847+G864+G1015+G1046+G1068+G1085+G1138+G1207+G1279+G1415+G1435+G1568+G1685+G1757+G1818+G1943+G1990+G2042+G1258+G157+G392+G436+G831+G943+G1837+G2028</f>
        <v>130012810</v>
      </c>
      <c r="H2067" s="1771">
        <f t="shared" si="495"/>
        <v>0.98061328481515619</v>
      </c>
      <c r="I2067" s="1036">
        <f>G2065+G2074</f>
        <v>1143048893</v>
      </c>
      <c r="J2067" s="1767"/>
      <c r="K2067" s="1767"/>
    </row>
    <row r="2068" spans="1:11" ht="18.75" customHeight="1">
      <c r="A2068" s="2107" t="s">
        <v>978</v>
      </c>
      <c r="B2068" s="2108"/>
      <c r="C2068" s="2108"/>
      <c r="D2068" s="2109"/>
      <c r="E2068" s="1770">
        <f>E19+E55+E79+E137+E163+E253+E260+E313+E325+E398+E412+E443+E461+E492+E527+E553+E559+E641+E649+E672+E761+E770+E853+E868+E1001+E1022+E1052+E1074+E1092+E1145+E1214+E1285+E1318+E1330+E1385+E1401+E1410+E1418+E1442+E1575+E1691+E1736+E1763+E1785+E1800+E1823+E1832+E1842+E1848+E1948+E1997+E2031+E2046+E1263+E283+E834+E308+E948+E1063+E1273+E1345+E1809</f>
        <v>121263385</v>
      </c>
      <c r="F2068" s="1770">
        <f>F19+F55+F79+F137+F163+F253+F260+F313+F325+F398+F412+F443+F461+F492+F527+F553+F559+F641+F649+F672+F761+F770+F853+F868+F1001+F1022+F1052+F1074+F1092+F1145+F1214+F1285+F1318+F1330+F1385+F1401+F1410+F1418+F1442+F1575+F1691+F1736+F1763+F1785+F1800+F1823+F1832+F1842+F1848+F1948+F1997+F2031+F2046+F1263+F283+F834+F308+F948+F1063+F1273+F1345+F1809</f>
        <v>114307501</v>
      </c>
      <c r="G2068" s="1770">
        <f>G19+G55+G79+G137+G163+G253+G260+G313+G325+G398+G412+G443+G461+G492+G527+G553+G559+G641+G649+G672+G761+G770+G853+G868+G1001+G1022+G1052+G1074+G1092+G1145+G1214+G1285+G1318+G1330+G1385+G1401+G1410+G1418+G1442+G1575+G1691+G1736+G1763+G1785+G1800+G1823+G1832+G1842+G1848+G1948+G1997+G2031+G2046+G1263+G283+G834+G308+G948+G1063+G1273+G1345+G1809</f>
        <v>103128502</v>
      </c>
      <c r="H2068" s="1771">
        <f t="shared" si="495"/>
        <v>0.90220240227279569</v>
      </c>
    </row>
    <row r="2069" spans="1:11" ht="17.100000000000001" customHeight="1">
      <c r="A2069" s="2095" t="s">
        <v>979</v>
      </c>
      <c r="B2069" s="2096"/>
      <c r="C2069" s="2096"/>
      <c r="D2069" s="2097"/>
      <c r="E2069" s="1770">
        <f>E141+E172+E208+E266+E303+E375+E415+E779+E982+E1290+E1348+E1364+E1388+E1396+E1405+E1423+E1464+E1488+E1557+E1652+E1741+E1788+E1804+E1863+E1872+E1881+E1886+E1903+E1908+E1917+E1926+E1936+E2050+E451+E470+E590+E974+E1333+E1376+E1796+E1855+E1952+E996+E1427</f>
        <v>237996356</v>
      </c>
      <c r="F2069" s="1770">
        <f>F141+F172+F208+F266+F303+F375+F415+F779+F982+F1290+F1348+F1364+F1388+F1396+F1405+F1423+F1464+F1488+F1557+F1652+F1741+F1788+F1804+F1863+F1872+F1881+F1886+F1903+F1908+F1917+F1926+F1936+F2050+F451+F470+F590+F974+F1333+F1376+F1796+F1855+F1952+F996+F1427</f>
        <v>252386024</v>
      </c>
      <c r="G2069" s="1770">
        <f>G141+G172+G208+G266+G303+G375+G415+G779+G982+G1290+G1348+G1364+G1388+G1396+G1405+G1423+G1464+G1488+G1557+G1652+G1741+G1788+G1804+G1863+G1872+G1881+G1886+G1903+G1908+G1917+G1926+G1936+G2050+G451+G470+G590+G974+G1333+G1376+G1796+G1855+G1952+G996+G1427</f>
        <v>237245608</v>
      </c>
      <c r="H2069" s="1771">
        <f t="shared" si="495"/>
        <v>0.94001087793989735</v>
      </c>
    </row>
    <row r="2070" spans="1:11" ht="17.100000000000001" customHeight="1">
      <c r="A2070" s="2095" t="s">
        <v>980</v>
      </c>
      <c r="B2070" s="2096"/>
      <c r="C2070" s="2096"/>
      <c r="D2070" s="2097"/>
      <c r="E2070" s="1770">
        <f>E40+E68+E91+E350+E512+E542+E657+E696+E884+E1038+E1059+E1081+E1110+E1158+E1234+E1298+E1299+E1300+E1326+E1467+E1597+E1598+E1701+E1781+E1868+E1869+E2015+E2056+E2057+E859+E953</f>
        <v>2830659</v>
      </c>
      <c r="F2070" s="1770">
        <f>F40+F68+F91+F350+F512+F542+F657+F696+F884+F1038+F1059+F1081+F1110+F1158+F1234+F1298+F1299+F1300+F1326+F1467+F1597+F1598+F1701+F1781+F1868+F1869+F2015+F2056+F2057+F859+F953</f>
        <v>3532664</v>
      </c>
      <c r="G2070" s="1770">
        <f>G40+G68+G91+G350+G512+G542+G657+G696+G884+G1038+G1059+G1081+G1110+G1158+G1234+G1298+G1299+G1300+G1326+G1467+G1597+G1598+G1701+G1781+G1868+G1869+G2015+G2056+G2057+G859+G953</f>
        <v>3192568</v>
      </c>
      <c r="H2070" s="1771">
        <f t="shared" si="495"/>
        <v>0.90372817794163274</v>
      </c>
      <c r="I2070" s="1036">
        <f>F2065+F2074</f>
        <v>1293366035</v>
      </c>
    </row>
    <row r="2071" spans="1:11" ht="15.75" customHeight="1">
      <c r="A2071" s="2111" t="s">
        <v>981</v>
      </c>
      <c r="B2071" s="2096"/>
      <c r="C2071" s="2096"/>
      <c r="D2071" s="2097"/>
      <c r="E2071" s="1770">
        <f>E103+E177+E214+E593+E698+E783+E886+E1114+E1160+E1236+E1495+E1600+E1704+E1744+E1956+E544+E1322+E1659+E1302+E418+E2017</f>
        <v>141441279</v>
      </c>
      <c r="F2071" s="1770">
        <f>F103+F177+F214+F593+F698+F783+F886+F1114+F1160+F1236+F1495+F1600+F1704+F1744+F1956+F544+F1322+F1659+F1302+F418+F2017</f>
        <v>139576313</v>
      </c>
      <c r="G2071" s="1770">
        <f>G103+G177+G214+G593+G698+G783+G886+G1114+G1160+G1236+G1495+G1600+G1704+G1744+G1956+G544+G1322+G1659+G1302+G418+G2017</f>
        <v>107328704</v>
      </c>
      <c r="H2071" s="1771">
        <f t="shared" si="495"/>
        <v>0.76896073333016035</v>
      </c>
    </row>
    <row r="2072" spans="1:11" ht="17.100000000000001" customHeight="1">
      <c r="A2072" s="2095" t="s">
        <v>982</v>
      </c>
      <c r="B2072" s="2096"/>
      <c r="C2072" s="2096"/>
      <c r="D2072" s="2097"/>
      <c r="E2072" s="1770">
        <f>E992</f>
        <v>10285562</v>
      </c>
      <c r="F2072" s="1770">
        <f>F992</f>
        <v>0</v>
      </c>
      <c r="G2072" s="1770">
        <f>G992</f>
        <v>0</v>
      </c>
      <c r="H2072" s="1771"/>
    </row>
    <row r="2073" spans="1:11" ht="17.100000000000001" customHeight="1" thickBot="1">
      <c r="A2073" s="2098" t="s">
        <v>983</v>
      </c>
      <c r="B2073" s="2099"/>
      <c r="C2073" s="2099"/>
      <c r="D2073" s="2100"/>
      <c r="E2073" s="1772">
        <f>E988</f>
        <v>11000000</v>
      </c>
      <c r="F2073" s="1772">
        <f>F988</f>
        <v>11000000</v>
      </c>
      <c r="G2073" s="1772">
        <f>G988</f>
        <v>6240822</v>
      </c>
      <c r="H2073" s="1773">
        <f t="shared" ref="H2073:H2077" si="517">G2073/F2073</f>
        <v>0.56734745454545454</v>
      </c>
    </row>
    <row r="2074" spans="1:11" ht="18.75" customHeight="1" thickBot="1">
      <c r="A2074" s="2101" t="s">
        <v>984</v>
      </c>
      <c r="B2074" s="2102"/>
      <c r="C2074" s="2102"/>
      <c r="D2074" s="2103"/>
      <c r="E2074" s="1765">
        <f>E2075+E2077+E2078</f>
        <v>883659117</v>
      </c>
      <c r="F2074" s="1765">
        <f>F2075+F2077+F2078</f>
        <v>639980371</v>
      </c>
      <c r="G2074" s="1765">
        <f>G2075+G2077+G2078</f>
        <v>555899879</v>
      </c>
      <c r="H2074" s="1766">
        <f t="shared" si="517"/>
        <v>0.86862020179053268</v>
      </c>
    </row>
    <row r="2075" spans="1:11" ht="17.100000000000001" customHeight="1">
      <c r="A2075" s="2104" t="s">
        <v>985</v>
      </c>
      <c r="B2075" s="2105"/>
      <c r="C2075" s="2105"/>
      <c r="D2075" s="2106"/>
      <c r="E2075" s="1768">
        <f>E42+E93+E145+E227+E270+E352+E378+E572+E739+E815+E927+E957+E965+E969+E1004+E1132+E1195+E1309+E1353+E1367+E1371+E1379+E1480+E1549+E1640+E1877+E1891+E1912+E1931+E1976+E1827+E626+E1922+E1041+E1243+E515+E286+E660+E152+E384+E387+E404+E430+E455+E474+E480+E842+E977+E1011+E1430+E1564+E1678+E1730+E1813+E2037+E2060+E1858+E1337+E1392+E1484+E2023</f>
        <v>883659117</v>
      </c>
      <c r="F2075" s="1768">
        <f>F42+F93+F145+F227+F270+F352+F378+F572+F739+F815+F927+F957+F965+F969+F1004+F1132+F1195+F1309+F1353+F1367+F1371+F1379+F1480+F1549+F1640+F1877+F1891+F1912+F1931+F1976+F1827+F626+F1922+F1041+F1243+F515+F286+F660+F152+F384+F387+F404+F430+F455+F474+F480+F842+F977+F1011+F1430+F1564+F1678+F1730+F1813+F2037+F2060+F1858+F1337+F1392+F1484+F2023</f>
        <v>622980419</v>
      </c>
      <c r="G2075" s="1768">
        <f>G42+G93+G145+G227+G270+G352+G378+G572+G739+G815+G927+G957+G965+G969+G1004+G1132+G1195+G1309+G1353+G1367+G1371+G1379+G1480+G1549+G1640+G1877+G1891+G1912+G1931+G1976+G1827+G626+G1922+G1041+G1243+G515+G286+G660+G152+G384+G387+G404+G430+G455+G474+G480+G842+G977+G1011+G1430+G1564+G1678+G1730+G1813+G2037+G2060+G1858+G1337+G1392+G1484+G2023</f>
        <v>541649927</v>
      </c>
      <c r="H2075" s="1769">
        <f t="shared" si="517"/>
        <v>0.86944936065478484</v>
      </c>
    </row>
    <row r="2076" spans="1:11" ht="18" customHeight="1">
      <c r="A2076" s="2107" t="s">
        <v>986</v>
      </c>
      <c r="B2076" s="2108"/>
      <c r="C2076" s="2108"/>
      <c r="D2076" s="2109"/>
      <c r="E2076" s="1770">
        <f>E99+E239+E276+E364+E580+E748+E823+E936+E1647+E1983+E628+E1200+E294+E1250+E1898</f>
        <v>724154957</v>
      </c>
      <c r="F2076" s="1770">
        <f>F99+F239+F276+F364+F580+F748+F823+F936+F1647+F1983+F628+F1200+F294+F1250+F1898</f>
        <v>469930602</v>
      </c>
      <c r="G2076" s="1770">
        <f>G99+G239+G276+G364+G580+G748+G823+G936+G1647+G1983+G628+G1200+G294+G1250+G1898</f>
        <v>425421599</v>
      </c>
      <c r="H2076" s="1771">
        <f t="shared" si="517"/>
        <v>0.90528600859239217</v>
      </c>
      <c r="I2076" s="1037"/>
      <c r="J2076" s="1767">
        <f>F2071+F2076</f>
        <v>609506915</v>
      </c>
    </row>
    <row r="2077" spans="1:11" ht="17.100000000000001" customHeight="1">
      <c r="A2077" s="2095" t="s">
        <v>987</v>
      </c>
      <c r="B2077" s="2096"/>
      <c r="C2077" s="2096"/>
      <c r="D2077" s="2097"/>
      <c r="E2077" s="1770">
        <f>E933+E1361+E406</f>
        <v>0</v>
      </c>
      <c r="F2077" s="1770">
        <f>F933+F1361+F406</f>
        <v>16999952</v>
      </c>
      <c r="G2077" s="1770">
        <f>G933+G1361+G406</f>
        <v>14249952</v>
      </c>
      <c r="H2077" s="1771">
        <f t="shared" si="517"/>
        <v>0.83823483736895255</v>
      </c>
      <c r="I2077" s="1037"/>
    </row>
    <row r="2078" spans="1:11" ht="17.100000000000001" customHeight="1" thickBot="1">
      <c r="A2078" s="2092" t="s">
        <v>988</v>
      </c>
      <c r="B2078" s="2093"/>
      <c r="C2078" s="2093"/>
      <c r="D2078" s="2094"/>
      <c r="E2078" s="1774">
        <v>0</v>
      </c>
      <c r="F2078" s="1774">
        <v>0</v>
      </c>
      <c r="G2078" s="1774">
        <v>0</v>
      </c>
      <c r="H2078" s="1775"/>
      <c r="I2078" s="1037"/>
    </row>
    <row r="2079" spans="1:11" ht="17.100000000000001" customHeight="1">
      <c r="A2079" s="1776"/>
      <c r="B2079" s="1776"/>
      <c r="C2079" s="1776"/>
      <c r="D2079" s="1776"/>
      <c r="E2079" s="1777"/>
      <c r="F2079" s="1777"/>
      <c r="G2079" s="1777"/>
      <c r="H2079" s="1778"/>
      <c r="I2079" s="1037"/>
    </row>
    <row r="2080" spans="1:11" ht="17.100000000000001" customHeight="1">
      <c r="A2080" s="1776"/>
      <c r="B2080" s="1776"/>
      <c r="C2080" s="1776"/>
      <c r="D2080" s="1776"/>
      <c r="E2080" s="1776"/>
      <c r="F2080" s="1776"/>
      <c r="G2080" s="1776"/>
      <c r="H2080" s="1778"/>
      <c r="I2080" s="1037"/>
    </row>
    <row r="2081" spans="1:9" ht="17.100000000000001" customHeight="1">
      <c r="A2081" s="1776"/>
      <c r="B2081" s="1776"/>
      <c r="C2081" s="1776"/>
      <c r="D2081" s="1776"/>
      <c r="E2081" s="1776"/>
      <c r="F2081" s="1776"/>
      <c r="G2081" s="1776"/>
      <c r="H2081" s="1778"/>
      <c r="I2081" s="1037"/>
    </row>
    <row r="2082" spans="1:9" ht="17.100000000000001" customHeight="1">
      <c r="A2082" s="1776"/>
      <c r="B2082" s="1776"/>
      <c r="C2082" s="1776"/>
      <c r="D2082" s="1776"/>
      <c r="E2082" s="1776"/>
      <c r="F2082" s="1779"/>
      <c r="G2082" s="1776"/>
      <c r="H2082" s="1778"/>
      <c r="I2082" s="1037"/>
    </row>
    <row r="2083" spans="1:9" ht="17.100000000000001" customHeight="1">
      <c r="A2083" s="1776"/>
      <c r="B2083" s="1776"/>
      <c r="C2083" s="1776"/>
      <c r="D2083" s="1776"/>
      <c r="E2083" s="1776"/>
      <c r="F2083" s="1779"/>
      <c r="G2083" s="1776"/>
      <c r="H2083" s="1778"/>
      <c r="I2083" s="1037"/>
    </row>
    <row r="2084" spans="1:9" ht="17.100000000000001" customHeight="1">
      <c r="A2084" s="1776"/>
      <c r="B2084" s="1776"/>
      <c r="C2084" s="1776"/>
      <c r="D2084" s="1776"/>
      <c r="E2084" s="1776"/>
      <c r="F2084" s="1780"/>
      <c r="G2084" s="1776"/>
      <c r="H2084" s="1778"/>
      <c r="I2084" s="1037"/>
    </row>
    <row r="2085" spans="1:9" ht="17.100000000000001" customHeight="1">
      <c r="A2085" s="1776"/>
      <c r="B2085" s="1776"/>
      <c r="C2085" s="1776"/>
      <c r="D2085" s="1776"/>
      <c r="E2085" s="1776"/>
      <c r="F2085" s="1780"/>
      <c r="G2085" s="1776"/>
      <c r="H2085" s="1778"/>
      <c r="I2085" s="1037"/>
    </row>
    <row r="2086" spans="1:9">
      <c r="A2086" s="1776"/>
      <c r="B2086" s="1776"/>
      <c r="C2086" s="1776"/>
      <c r="D2086" s="1776"/>
      <c r="E2086" s="1776"/>
      <c r="F2086" s="1779"/>
      <c r="G2086" s="1776"/>
      <c r="H2086" s="1778"/>
      <c r="I2086" s="1037"/>
    </row>
    <row r="2087" spans="1:9">
      <c r="A2087" s="1776"/>
      <c r="B2087" s="1776"/>
      <c r="C2087" s="1776"/>
      <c r="D2087" s="1776"/>
      <c r="E2087" s="1776"/>
      <c r="F2087" s="1776"/>
      <c r="G2087" s="1776"/>
      <c r="H2087" s="1778"/>
      <c r="I2087" s="1037"/>
    </row>
    <row r="2088" spans="1:9">
      <c r="C2088" s="1767"/>
      <c r="I2088" s="1037"/>
    </row>
    <row r="2090" spans="1:9">
      <c r="C2090" s="1767"/>
      <c r="I2090" s="1037"/>
    </row>
    <row r="2092" spans="1:9">
      <c r="C2092" s="1767"/>
      <c r="H2092" s="1037"/>
      <c r="I2092" s="1037"/>
    </row>
    <row r="2094" spans="1:9">
      <c r="C2094" s="1767"/>
      <c r="H2094" s="1037"/>
      <c r="I2094" s="1037"/>
    </row>
    <row r="2096" spans="1:9">
      <c r="C2096" s="1767"/>
      <c r="H2096" s="1037"/>
      <c r="I2096" s="1037"/>
    </row>
    <row r="2098" spans="3:9">
      <c r="C2098" s="1767"/>
      <c r="H2098" s="1037"/>
      <c r="I2098" s="1037"/>
    </row>
    <row r="2100" spans="3:9">
      <c r="C2100" s="1767"/>
      <c r="H2100" s="1037"/>
      <c r="I2100" s="1037"/>
    </row>
    <row r="2102" spans="3:9">
      <c r="C2102" s="1767"/>
      <c r="H2102" s="1037"/>
      <c r="I2102" s="1037"/>
    </row>
    <row r="2104" spans="3:9">
      <c r="C2104" s="1767"/>
      <c r="H2104" s="1037"/>
      <c r="I2104" s="1037"/>
    </row>
  </sheetData>
  <mergeCells count="618">
    <mergeCell ref="C19:D19"/>
    <mergeCell ref="C38:D38"/>
    <mergeCell ref="C39:D39"/>
    <mergeCell ref="C41:D41"/>
    <mergeCell ref="C42:D42"/>
    <mergeCell ref="C43:D43"/>
    <mergeCell ref="A1:H4"/>
    <mergeCell ref="A5:D5"/>
    <mergeCell ref="B10:B12"/>
    <mergeCell ref="C10:D10"/>
    <mergeCell ref="C11:D11"/>
    <mergeCell ref="C12:D12"/>
    <mergeCell ref="C89:D89"/>
    <mergeCell ref="C90:D90"/>
    <mergeCell ref="C93:D93"/>
    <mergeCell ref="C94:D94"/>
    <mergeCell ref="C99:D99"/>
    <mergeCell ref="B102:B133"/>
    <mergeCell ref="C102:D102"/>
    <mergeCell ref="C103:D103"/>
    <mergeCell ref="C46:D46"/>
    <mergeCell ref="C47:D47"/>
    <mergeCell ref="C48:D48"/>
    <mergeCell ref="C55:D55"/>
    <mergeCell ref="C68:D68"/>
    <mergeCell ref="B71:B100"/>
    <mergeCell ref="C71:D71"/>
    <mergeCell ref="C72:D72"/>
    <mergeCell ref="C73:D73"/>
    <mergeCell ref="C79:D79"/>
    <mergeCell ref="C135:D135"/>
    <mergeCell ref="C136:D136"/>
    <mergeCell ref="C137:D137"/>
    <mergeCell ref="C140:D140"/>
    <mergeCell ref="C141:D141"/>
    <mergeCell ref="B144:B149"/>
    <mergeCell ref="C144:D144"/>
    <mergeCell ref="C145:D145"/>
    <mergeCell ref="C146:D146"/>
    <mergeCell ref="C163:D163"/>
    <mergeCell ref="C172:D172"/>
    <mergeCell ref="B176:B180"/>
    <mergeCell ref="C176:D176"/>
    <mergeCell ref="C177:D177"/>
    <mergeCell ref="B207:B210"/>
    <mergeCell ref="C207:D207"/>
    <mergeCell ref="C208:D208"/>
    <mergeCell ref="C151:D151"/>
    <mergeCell ref="C152:D152"/>
    <mergeCell ref="C155:D155"/>
    <mergeCell ref="C156:D156"/>
    <mergeCell ref="C157:D157"/>
    <mergeCell ref="C162:D162"/>
    <mergeCell ref="C239:D239"/>
    <mergeCell ref="B245:B251"/>
    <mergeCell ref="C245:D245"/>
    <mergeCell ref="C246:D246"/>
    <mergeCell ref="C247:D247"/>
    <mergeCell ref="C253:D253"/>
    <mergeCell ref="C214:D214"/>
    <mergeCell ref="C226:D226"/>
    <mergeCell ref="C227:D227"/>
    <mergeCell ref="C228:D228"/>
    <mergeCell ref="B234:B236"/>
    <mergeCell ref="C234:D234"/>
    <mergeCell ref="C235:D235"/>
    <mergeCell ref="C281:D281"/>
    <mergeCell ref="C282:D282"/>
    <mergeCell ref="C283:D283"/>
    <mergeCell ref="C285:D285"/>
    <mergeCell ref="C286:D286"/>
    <mergeCell ref="C294:D294"/>
    <mergeCell ref="B258:B279"/>
    <mergeCell ref="C258:D258"/>
    <mergeCell ref="C259:D259"/>
    <mergeCell ref="C260:D260"/>
    <mergeCell ref="C266:D266"/>
    <mergeCell ref="C270:D270"/>
    <mergeCell ref="C271:D271"/>
    <mergeCell ref="C276:D276"/>
    <mergeCell ref="C316:D316"/>
    <mergeCell ref="C317:D317"/>
    <mergeCell ref="C318:D318"/>
    <mergeCell ref="C325:D325"/>
    <mergeCell ref="C349:D349"/>
    <mergeCell ref="C352:D352"/>
    <mergeCell ref="B302:B304"/>
    <mergeCell ref="C302:D302"/>
    <mergeCell ref="C303:D303"/>
    <mergeCell ref="C307:D307"/>
    <mergeCell ref="C308:D308"/>
    <mergeCell ref="B311:B314"/>
    <mergeCell ref="C311:D311"/>
    <mergeCell ref="C312:D312"/>
    <mergeCell ref="C313:D313"/>
    <mergeCell ref="B390:B400"/>
    <mergeCell ref="C390:D390"/>
    <mergeCell ref="C391:D391"/>
    <mergeCell ref="C392:D392"/>
    <mergeCell ref="C398:D398"/>
    <mergeCell ref="C353:D353"/>
    <mergeCell ref="C364:D364"/>
    <mergeCell ref="C374:D374"/>
    <mergeCell ref="C375:D375"/>
    <mergeCell ref="C378:D378"/>
    <mergeCell ref="C379:D379"/>
    <mergeCell ref="C402:D402"/>
    <mergeCell ref="C403:D403"/>
    <mergeCell ref="C406:D406"/>
    <mergeCell ref="C410:D410"/>
    <mergeCell ref="C411:D411"/>
    <mergeCell ref="C412:D412"/>
    <mergeCell ref="C382:D382"/>
    <mergeCell ref="C383:D383"/>
    <mergeCell ref="C386:D386"/>
    <mergeCell ref="C387:D387"/>
    <mergeCell ref="C415:D415"/>
    <mergeCell ref="C418:D418"/>
    <mergeCell ref="C429:D429"/>
    <mergeCell ref="C430:D430"/>
    <mergeCell ref="C431:D431"/>
    <mergeCell ref="B434:B445"/>
    <mergeCell ref="C434:D434"/>
    <mergeCell ref="C435:D435"/>
    <mergeCell ref="C436:D436"/>
    <mergeCell ref="C442:D442"/>
    <mergeCell ref="C461:D461"/>
    <mergeCell ref="C470:D470"/>
    <mergeCell ref="C473:D473"/>
    <mergeCell ref="C474:D474"/>
    <mergeCell ref="C478:D478"/>
    <mergeCell ref="C479:D479"/>
    <mergeCell ref="C443:D443"/>
    <mergeCell ref="C450:D450"/>
    <mergeCell ref="C453:D453"/>
    <mergeCell ref="C454:D454"/>
    <mergeCell ref="C458:D458"/>
    <mergeCell ref="C459:D459"/>
    <mergeCell ref="C514:D514"/>
    <mergeCell ref="C515:D515"/>
    <mergeCell ref="C518:D518"/>
    <mergeCell ref="C519:D519"/>
    <mergeCell ref="C520:D520"/>
    <mergeCell ref="C527:D527"/>
    <mergeCell ref="C483:D483"/>
    <mergeCell ref="C484:D484"/>
    <mergeCell ref="C485:D485"/>
    <mergeCell ref="C492:D492"/>
    <mergeCell ref="C511:D511"/>
    <mergeCell ref="C513:D513"/>
    <mergeCell ref="B557:B565"/>
    <mergeCell ref="C557:D557"/>
    <mergeCell ref="C558:D558"/>
    <mergeCell ref="C559:D559"/>
    <mergeCell ref="C571:D571"/>
    <mergeCell ref="C572:D572"/>
    <mergeCell ref="C541:D541"/>
    <mergeCell ref="C544:D544"/>
    <mergeCell ref="B551:B554"/>
    <mergeCell ref="C551:D551"/>
    <mergeCell ref="C552:D552"/>
    <mergeCell ref="C553:D553"/>
    <mergeCell ref="B632:B636"/>
    <mergeCell ref="C632:D632"/>
    <mergeCell ref="C633:D633"/>
    <mergeCell ref="C634:D634"/>
    <mergeCell ref="C579:D579"/>
    <mergeCell ref="C580:D580"/>
    <mergeCell ref="C588:D588"/>
    <mergeCell ref="C589:D589"/>
    <mergeCell ref="B592:B593"/>
    <mergeCell ref="C592:D592"/>
    <mergeCell ref="C593:D593"/>
    <mergeCell ref="C641:D641"/>
    <mergeCell ref="C644:D644"/>
    <mergeCell ref="C645:D645"/>
    <mergeCell ref="C646:D646"/>
    <mergeCell ref="C649:D649"/>
    <mergeCell ref="C656:D656"/>
    <mergeCell ref="C623:D623"/>
    <mergeCell ref="C624:D624"/>
    <mergeCell ref="C625:D625"/>
    <mergeCell ref="C628:D628"/>
    <mergeCell ref="C672:D672"/>
    <mergeCell ref="C695:D695"/>
    <mergeCell ref="C698:D698"/>
    <mergeCell ref="C739:D739"/>
    <mergeCell ref="C740:D740"/>
    <mergeCell ref="B744:B752"/>
    <mergeCell ref="C748:D748"/>
    <mergeCell ref="C658:D658"/>
    <mergeCell ref="C659:D659"/>
    <mergeCell ref="C660:D660"/>
    <mergeCell ref="C663:D663"/>
    <mergeCell ref="C664:D664"/>
    <mergeCell ref="C665:D665"/>
    <mergeCell ref="B754:B758"/>
    <mergeCell ref="C754:D754"/>
    <mergeCell ref="C755:D755"/>
    <mergeCell ref="C756:D756"/>
    <mergeCell ref="C761:D761"/>
    <mergeCell ref="B765:B817"/>
    <mergeCell ref="C765:D765"/>
    <mergeCell ref="C766:D766"/>
    <mergeCell ref="C767:D767"/>
    <mergeCell ref="C770:D770"/>
    <mergeCell ref="C841:D841"/>
    <mergeCell ref="C842:D842"/>
    <mergeCell ref="B845:B857"/>
    <mergeCell ref="C845:D845"/>
    <mergeCell ref="C846:D846"/>
    <mergeCell ref="C847:D847"/>
    <mergeCell ref="C853:D853"/>
    <mergeCell ref="C779:D779"/>
    <mergeCell ref="C783:D783"/>
    <mergeCell ref="C815:D815"/>
    <mergeCell ref="C816:D816"/>
    <mergeCell ref="C823:D823"/>
    <mergeCell ref="B829:B839"/>
    <mergeCell ref="C829:D829"/>
    <mergeCell ref="C830:D830"/>
    <mergeCell ref="C831:D831"/>
    <mergeCell ref="C834:D834"/>
    <mergeCell ref="A924:A936"/>
    <mergeCell ref="C926:D926"/>
    <mergeCell ref="C927:D927"/>
    <mergeCell ref="C932:D932"/>
    <mergeCell ref="C933:D933"/>
    <mergeCell ref="C936:D936"/>
    <mergeCell ref="C859:D859"/>
    <mergeCell ref="A861:A862"/>
    <mergeCell ref="B862:B929"/>
    <mergeCell ref="C862:D862"/>
    <mergeCell ref="C863:D863"/>
    <mergeCell ref="C864:D864"/>
    <mergeCell ref="C868:D868"/>
    <mergeCell ref="C879:D879"/>
    <mergeCell ref="C883:D883"/>
    <mergeCell ref="C885:D885"/>
    <mergeCell ref="C941:D941"/>
    <mergeCell ref="C942:D942"/>
    <mergeCell ref="C943:D943"/>
    <mergeCell ref="C948:D948"/>
    <mergeCell ref="C953:D953"/>
    <mergeCell ref="B957:B959"/>
    <mergeCell ref="C957:D957"/>
    <mergeCell ref="C958:D958"/>
    <mergeCell ref="C886:D886"/>
    <mergeCell ref="B969:B971"/>
    <mergeCell ref="C969:D969"/>
    <mergeCell ref="C970:D970"/>
    <mergeCell ref="C973:D973"/>
    <mergeCell ref="C974:D974"/>
    <mergeCell ref="C976:D976"/>
    <mergeCell ref="B961:B967"/>
    <mergeCell ref="C961:D961"/>
    <mergeCell ref="C962:D962"/>
    <mergeCell ref="C964:D964"/>
    <mergeCell ref="C965:D965"/>
    <mergeCell ref="C966:D966"/>
    <mergeCell ref="B990:B992"/>
    <mergeCell ref="C990:D990"/>
    <mergeCell ref="C991:D991"/>
    <mergeCell ref="B995:B997"/>
    <mergeCell ref="C995:D995"/>
    <mergeCell ref="C996:D996"/>
    <mergeCell ref="C977:D977"/>
    <mergeCell ref="C978:D978"/>
    <mergeCell ref="B981:B983"/>
    <mergeCell ref="C981:D981"/>
    <mergeCell ref="C982:D982"/>
    <mergeCell ref="B986:B988"/>
    <mergeCell ref="C986:D986"/>
    <mergeCell ref="C987:D987"/>
    <mergeCell ref="B1009:B1011"/>
    <mergeCell ref="C1009:D1009"/>
    <mergeCell ref="C1010:D1010"/>
    <mergeCell ref="C1013:D1013"/>
    <mergeCell ref="C1014:D1014"/>
    <mergeCell ref="C1015:D1015"/>
    <mergeCell ref="B999:B1006"/>
    <mergeCell ref="C999:D999"/>
    <mergeCell ref="C1000:D1000"/>
    <mergeCell ref="C1001:D1001"/>
    <mergeCell ref="C1004:D1004"/>
    <mergeCell ref="C1005:D1005"/>
    <mergeCell ref="B1066:B1081"/>
    <mergeCell ref="C1066:D1066"/>
    <mergeCell ref="C1067:D1067"/>
    <mergeCell ref="C1068:D1068"/>
    <mergeCell ref="C1074:D1074"/>
    <mergeCell ref="C1080:D1080"/>
    <mergeCell ref="C1022:D1022"/>
    <mergeCell ref="B1035:B1038"/>
    <mergeCell ref="C1037:D1037"/>
    <mergeCell ref="C1040:D1040"/>
    <mergeCell ref="C1041:D1041"/>
    <mergeCell ref="B1044:B1059"/>
    <mergeCell ref="C1044:D1044"/>
    <mergeCell ref="C1045:D1045"/>
    <mergeCell ref="C1046:D1046"/>
    <mergeCell ref="C1052:D1052"/>
    <mergeCell ref="C1083:D1083"/>
    <mergeCell ref="C1084:D1084"/>
    <mergeCell ref="C1085:D1085"/>
    <mergeCell ref="C1092:D1092"/>
    <mergeCell ref="C1110:D1110"/>
    <mergeCell ref="C1114:D1114"/>
    <mergeCell ref="C1058:D1058"/>
    <mergeCell ref="C1061:D1061"/>
    <mergeCell ref="C1062:D1062"/>
    <mergeCell ref="C1063:D1063"/>
    <mergeCell ref="C1157:D1157"/>
    <mergeCell ref="C1160:D1160"/>
    <mergeCell ref="C1194:D1194"/>
    <mergeCell ref="C1195:D1195"/>
    <mergeCell ref="C1200:D1200"/>
    <mergeCell ref="C1205:D1205"/>
    <mergeCell ref="C1132:D1132"/>
    <mergeCell ref="C1133:D1133"/>
    <mergeCell ref="C1136:D1136"/>
    <mergeCell ref="C1137:D1137"/>
    <mergeCell ref="C1138:D1138"/>
    <mergeCell ref="C1145:D1145"/>
    <mergeCell ref="C1243:D1243"/>
    <mergeCell ref="C1250:D1250"/>
    <mergeCell ref="C1256:D1256"/>
    <mergeCell ref="C1257:D1257"/>
    <mergeCell ref="C1258:D1258"/>
    <mergeCell ref="C1263:D1263"/>
    <mergeCell ref="C1206:D1206"/>
    <mergeCell ref="C1207:D1207"/>
    <mergeCell ref="C1214:D1214"/>
    <mergeCell ref="C1233:D1233"/>
    <mergeCell ref="C1236:D1236"/>
    <mergeCell ref="C1242:D1242"/>
    <mergeCell ref="C1285:D1285"/>
    <mergeCell ref="C1290:D1290"/>
    <mergeCell ref="C1297:D1297"/>
    <mergeCell ref="C1302:D1302"/>
    <mergeCell ref="C1309:D1309"/>
    <mergeCell ref="C1310:D1310"/>
    <mergeCell ref="C1271:D1271"/>
    <mergeCell ref="C1272:D1272"/>
    <mergeCell ref="C1273:D1273"/>
    <mergeCell ref="C1277:D1277"/>
    <mergeCell ref="C1278:D1278"/>
    <mergeCell ref="C1279:D1279"/>
    <mergeCell ref="B1328:B1331"/>
    <mergeCell ref="C1328:D1328"/>
    <mergeCell ref="C1329:D1329"/>
    <mergeCell ref="C1330:D1330"/>
    <mergeCell ref="C1332:D1332"/>
    <mergeCell ref="C1333:D1333"/>
    <mergeCell ref="B1316:B1326"/>
    <mergeCell ref="C1316:D1316"/>
    <mergeCell ref="C1317:D1317"/>
    <mergeCell ref="C1318:D1318"/>
    <mergeCell ref="C1322:D1322"/>
    <mergeCell ref="C1325:D1325"/>
    <mergeCell ref="C1359:D1359"/>
    <mergeCell ref="C1360:D1360"/>
    <mergeCell ref="B1363:B1369"/>
    <mergeCell ref="C1363:D1363"/>
    <mergeCell ref="C1364:D1364"/>
    <mergeCell ref="C1367:D1367"/>
    <mergeCell ref="C1368:D1368"/>
    <mergeCell ref="C1337:D1337"/>
    <mergeCell ref="C1338:D1338"/>
    <mergeCell ref="B1343:B1354"/>
    <mergeCell ref="C1343:D1343"/>
    <mergeCell ref="C1344:D1344"/>
    <mergeCell ref="C1345:D1345"/>
    <mergeCell ref="C1348:D1348"/>
    <mergeCell ref="C1353:D1353"/>
    <mergeCell ref="C1354:D1354"/>
    <mergeCell ref="B1379:B1381"/>
    <mergeCell ref="C1379:D1379"/>
    <mergeCell ref="C1380:D1380"/>
    <mergeCell ref="C1383:D1383"/>
    <mergeCell ref="C1384:D1384"/>
    <mergeCell ref="B1385:B1389"/>
    <mergeCell ref="C1385:D1385"/>
    <mergeCell ref="C1388:D1388"/>
    <mergeCell ref="B1371:B1373"/>
    <mergeCell ref="C1371:D1371"/>
    <mergeCell ref="C1372:D1372"/>
    <mergeCell ref="C1375:D1375"/>
    <mergeCell ref="C1376:D1376"/>
    <mergeCell ref="C1378:D1378"/>
    <mergeCell ref="C1400:D1400"/>
    <mergeCell ref="C1401:D1401"/>
    <mergeCell ref="C1405:D1405"/>
    <mergeCell ref="B1408:B1411"/>
    <mergeCell ref="C1408:D1408"/>
    <mergeCell ref="C1409:D1409"/>
    <mergeCell ref="C1410:D1410"/>
    <mergeCell ref="C1391:D1391"/>
    <mergeCell ref="C1392:D1392"/>
    <mergeCell ref="B1395:B1397"/>
    <mergeCell ref="C1395:D1395"/>
    <mergeCell ref="C1396:D1396"/>
    <mergeCell ref="C1399:D1399"/>
    <mergeCell ref="C1426:D1426"/>
    <mergeCell ref="C1427:D1427"/>
    <mergeCell ref="B1429:B1431"/>
    <mergeCell ref="C1429:D1429"/>
    <mergeCell ref="C1430:D1430"/>
    <mergeCell ref="C1433:D1433"/>
    <mergeCell ref="C1413:D1413"/>
    <mergeCell ref="C1414:D1414"/>
    <mergeCell ref="C1415:D1415"/>
    <mergeCell ref="C1418:D1418"/>
    <mergeCell ref="B1422:B1424"/>
    <mergeCell ref="C1422:D1422"/>
    <mergeCell ref="C1423:D1423"/>
    <mergeCell ref="C1434:D1434"/>
    <mergeCell ref="C1435:D1435"/>
    <mergeCell ref="C1442:D1442"/>
    <mergeCell ref="C1464:D1464"/>
    <mergeCell ref="B1467:B1481"/>
    <mergeCell ref="C1467:D1467"/>
    <mergeCell ref="C1470:D1470"/>
    <mergeCell ref="C1471:D1471"/>
    <mergeCell ref="C1474:D1474"/>
    <mergeCell ref="C1475:D1475"/>
    <mergeCell ref="C1495:D1495"/>
    <mergeCell ref="C1548:D1548"/>
    <mergeCell ref="C1549:D1549"/>
    <mergeCell ref="B1556:B1558"/>
    <mergeCell ref="C1556:D1556"/>
    <mergeCell ref="C1557:D1557"/>
    <mergeCell ref="C1479:D1479"/>
    <mergeCell ref="C1480:D1480"/>
    <mergeCell ref="C1483:D1483"/>
    <mergeCell ref="C1484:D1484"/>
    <mergeCell ref="C1487:D1487"/>
    <mergeCell ref="C1488:D1488"/>
    <mergeCell ref="C1596:D1596"/>
    <mergeCell ref="C1600:D1600"/>
    <mergeCell ref="C1640:D1640"/>
    <mergeCell ref="C1641:D1641"/>
    <mergeCell ref="C1647:D1647"/>
    <mergeCell ref="B1651:B1654"/>
    <mergeCell ref="C1651:D1651"/>
    <mergeCell ref="C1652:D1652"/>
    <mergeCell ref="C1562:D1562"/>
    <mergeCell ref="C1563:D1563"/>
    <mergeCell ref="C1566:D1566"/>
    <mergeCell ref="C1567:D1567"/>
    <mergeCell ref="C1568:D1568"/>
    <mergeCell ref="C1575:D1575"/>
    <mergeCell ref="C1685:D1685"/>
    <mergeCell ref="C1691:D1691"/>
    <mergeCell ref="B1696:B1701"/>
    <mergeCell ref="C1700:D1700"/>
    <mergeCell ref="B1703:B1705"/>
    <mergeCell ref="C1703:D1703"/>
    <mergeCell ref="C1704:D1704"/>
    <mergeCell ref="C1659:D1659"/>
    <mergeCell ref="C1676:D1676"/>
    <mergeCell ref="C1677:D1677"/>
    <mergeCell ref="C1678:D1678"/>
    <mergeCell ref="C1683:D1683"/>
    <mergeCell ref="C1684:D1684"/>
    <mergeCell ref="C1740:D1740"/>
    <mergeCell ref="C1741:D1741"/>
    <mergeCell ref="C1744:D1744"/>
    <mergeCell ref="C1755:D1755"/>
    <mergeCell ref="C1756:D1756"/>
    <mergeCell ref="C1757:D1757"/>
    <mergeCell ref="B1729:B1731"/>
    <mergeCell ref="C1729:D1729"/>
    <mergeCell ref="C1730:D1730"/>
    <mergeCell ref="C1734:D1734"/>
    <mergeCell ref="C1735:D1735"/>
    <mergeCell ref="C1736:D1736"/>
    <mergeCell ref="C1763:D1763"/>
    <mergeCell ref="B1772:B1781"/>
    <mergeCell ref="C1780:D1780"/>
    <mergeCell ref="B1783:B1789"/>
    <mergeCell ref="C1783:D1783"/>
    <mergeCell ref="C1784:D1784"/>
    <mergeCell ref="C1785:D1785"/>
    <mergeCell ref="C1787:D1787"/>
    <mergeCell ref="C1788:D1788"/>
    <mergeCell ref="C1804:D1804"/>
    <mergeCell ref="C1807:D1807"/>
    <mergeCell ref="C1808:D1808"/>
    <mergeCell ref="C1809:D1809"/>
    <mergeCell ref="B1812:B1814"/>
    <mergeCell ref="C1812:D1812"/>
    <mergeCell ref="C1813:D1813"/>
    <mergeCell ref="B1794:B1796"/>
    <mergeCell ref="C1794:D1794"/>
    <mergeCell ref="C1795:D1795"/>
    <mergeCell ref="B1798:B1802"/>
    <mergeCell ref="C1798:D1798"/>
    <mergeCell ref="C1799:D1799"/>
    <mergeCell ref="C1800:D1800"/>
    <mergeCell ref="C1826:D1826"/>
    <mergeCell ref="C1827:D1827"/>
    <mergeCell ref="B1830:B1833"/>
    <mergeCell ref="C1830:D1830"/>
    <mergeCell ref="C1831:D1831"/>
    <mergeCell ref="C1832:D1832"/>
    <mergeCell ref="B1816:B1824"/>
    <mergeCell ref="C1816:D1816"/>
    <mergeCell ref="C1817:D1817"/>
    <mergeCell ref="C1818:D1818"/>
    <mergeCell ref="C1823:D1823"/>
    <mergeCell ref="C1825:D1825"/>
    <mergeCell ref="B1835:B1844"/>
    <mergeCell ref="C1835:D1835"/>
    <mergeCell ref="C1836:D1836"/>
    <mergeCell ref="C1837:D1837"/>
    <mergeCell ref="C1842:D1842"/>
    <mergeCell ref="B1846:B1852"/>
    <mergeCell ref="C1846:D1846"/>
    <mergeCell ref="C1847:D1847"/>
    <mergeCell ref="C1848:D1848"/>
    <mergeCell ref="B1871:B1874"/>
    <mergeCell ref="C1871:D1871"/>
    <mergeCell ref="C1872:D1872"/>
    <mergeCell ref="C1876:D1876"/>
    <mergeCell ref="C1877:D1877"/>
    <mergeCell ref="B1880:B1882"/>
    <mergeCell ref="C1880:D1880"/>
    <mergeCell ref="C1881:D1881"/>
    <mergeCell ref="C1853:D1853"/>
    <mergeCell ref="C1854:D1854"/>
    <mergeCell ref="C1856:D1856"/>
    <mergeCell ref="C1857:D1857"/>
    <mergeCell ref="C1858:D1858"/>
    <mergeCell ref="B1862:B1869"/>
    <mergeCell ref="C1862:D1862"/>
    <mergeCell ref="C1863:D1863"/>
    <mergeCell ref="C1867:D1867"/>
    <mergeCell ref="B1902:B1905"/>
    <mergeCell ref="C1902:D1902"/>
    <mergeCell ref="C1903:D1903"/>
    <mergeCell ref="B1907:B1914"/>
    <mergeCell ref="C1907:D1907"/>
    <mergeCell ref="C1908:D1908"/>
    <mergeCell ref="C1912:D1912"/>
    <mergeCell ref="C1913:D1913"/>
    <mergeCell ref="B1885:B1893"/>
    <mergeCell ref="C1885:D1885"/>
    <mergeCell ref="C1886:D1886"/>
    <mergeCell ref="C1891:D1891"/>
    <mergeCell ref="C1892:D1892"/>
    <mergeCell ref="C1898:D1898"/>
    <mergeCell ref="B1925:B1927"/>
    <mergeCell ref="C1925:D1925"/>
    <mergeCell ref="C1926:D1926"/>
    <mergeCell ref="C1931:D1931"/>
    <mergeCell ref="C1932:D1932"/>
    <mergeCell ref="B1935:B1936"/>
    <mergeCell ref="C1935:D1935"/>
    <mergeCell ref="C1936:D1936"/>
    <mergeCell ref="B1916:B1919"/>
    <mergeCell ref="C1916:D1916"/>
    <mergeCell ref="C1917:D1917"/>
    <mergeCell ref="C1920:D1920"/>
    <mergeCell ref="C1921:D1921"/>
    <mergeCell ref="C1922:D1922"/>
    <mergeCell ref="C1956:D1956"/>
    <mergeCell ref="C1976:D1976"/>
    <mergeCell ref="C1977:D1977"/>
    <mergeCell ref="C1982:D1982"/>
    <mergeCell ref="C1983:D1983"/>
    <mergeCell ref="C1988:D1988"/>
    <mergeCell ref="B1941:B1950"/>
    <mergeCell ref="C1941:D1941"/>
    <mergeCell ref="C1942:D1942"/>
    <mergeCell ref="C1943:D1943"/>
    <mergeCell ref="C1948:D1948"/>
    <mergeCell ref="C1952:D1952"/>
    <mergeCell ref="C2023:D2023"/>
    <mergeCell ref="C2026:D2026"/>
    <mergeCell ref="C2027:D2027"/>
    <mergeCell ref="C2028:D2028"/>
    <mergeCell ref="C2031:D2031"/>
    <mergeCell ref="C2036:D2036"/>
    <mergeCell ref="C1989:D1989"/>
    <mergeCell ref="C1990:D1990"/>
    <mergeCell ref="C1997:D1997"/>
    <mergeCell ref="C2014:D2014"/>
    <mergeCell ref="C2017:D2017"/>
    <mergeCell ref="C2022:D2022"/>
    <mergeCell ref="C2059:D2059"/>
    <mergeCell ref="C2060:D2060"/>
    <mergeCell ref="A2062:D2062"/>
    <mergeCell ref="A2063:D2063"/>
    <mergeCell ref="A2064:D2064"/>
    <mergeCell ref="A2065:D2065"/>
    <mergeCell ref="C2037:D2037"/>
    <mergeCell ref="A2039:A2057"/>
    <mergeCell ref="C2040:D2040"/>
    <mergeCell ref="C2041:D2041"/>
    <mergeCell ref="C2042:D2042"/>
    <mergeCell ref="C2046:D2046"/>
    <mergeCell ref="C2050:D2050"/>
    <mergeCell ref="C2054:D2054"/>
    <mergeCell ref="C2055:D2055"/>
    <mergeCell ref="A2078:D2078"/>
    <mergeCell ref="A2072:D2072"/>
    <mergeCell ref="A2073:D2073"/>
    <mergeCell ref="A2074:D2074"/>
    <mergeCell ref="A2075:D2075"/>
    <mergeCell ref="A2076:D2076"/>
    <mergeCell ref="A2077:D2077"/>
    <mergeCell ref="A2066:D2066"/>
    <mergeCell ref="A2067:D2067"/>
    <mergeCell ref="A2068:D2068"/>
    <mergeCell ref="A2069:D2069"/>
    <mergeCell ref="A2070:D2070"/>
    <mergeCell ref="A2071:D207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Strona &amp;P z &amp;N</oddFooter>
  </headerFooter>
  <rowBreaks count="25" manualBreakCount="25">
    <brk id="149" max="7" man="1"/>
    <brk id="173" max="7" man="1"/>
    <brk id="314" max="7" man="1"/>
    <brk id="377" max="7" man="1"/>
    <brk id="405" max="7" man="1"/>
    <brk id="432" max="7" man="1"/>
    <brk id="526" max="7" man="1"/>
    <brk id="642" max="7" man="1"/>
    <brk id="843" max="7" man="1"/>
    <brk id="992" max="7" man="1"/>
    <brk id="1023" max="7" man="1"/>
    <brk id="1056" max="7" man="1"/>
    <brk id="1156" max="7" man="1"/>
    <brk id="1381" max="7" man="1"/>
    <brk id="1406" max="7" man="1"/>
    <brk id="1431" max="7" man="1"/>
    <brk id="1463" max="7" man="1"/>
    <brk id="1553" max="7" man="1"/>
    <brk id="1743" max="7" man="1"/>
    <brk id="1805" max="7" man="1"/>
    <brk id="1833" max="7" man="1"/>
    <brk id="1859" max="7" man="1"/>
    <brk id="1939" max="7" man="1"/>
    <brk id="2033" max="7" man="1"/>
    <brk id="20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view="pageBreakPreview" zoomScaleNormal="130" zoomScaleSheetLayoutView="100" workbookViewId="0">
      <selection activeCell="M85" sqref="M85"/>
    </sheetView>
  </sheetViews>
  <sheetFormatPr defaultColWidth="9.140625" defaultRowHeight="12.75"/>
  <cols>
    <col min="1" max="1" width="7.7109375" style="1783" customWidth="1"/>
    <col min="2" max="2" width="8.85546875" style="1783" bestFit="1" customWidth="1"/>
    <col min="3" max="3" width="10.5703125" style="1783" customWidth="1"/>
    <col min="4" max="4" width="41.85546875" style="1783" customWidth="1"/>
    <col min="5" max="5" width="16.7109375" style="1783" customWidth="1"/>
    <col min="6" max="8" width="13.7109375" style="1783" customWidth="1"/>
    <col min="9" max="9" width="11.28515625" style="1782" customWidth="1"/>
    <col min="10" max="16384" width="9.140625" style="1783"/>
  </cols>
  <sheetData>
    <row r="1" spans="1:12" ht="35.25" customHeight="1">
      <c r="A1" s="2342" t="s">
        <v>989</v>
      </c>
      <c r="B1" s="2342"/>
      <c r="C1" s="2342"/>
      <c r="D1" s="2342"/>
      <c r="E1" s="2342"/>
      <c r="F1" s="2342"/>
      <c r="G1" s="2342"/>
      <c r="H1" s="2342"/>
    </row>
    <row r="2" spans="1:12" ht="18.75" customHeight="1" thickBot="1">
      <c r="A2" s="2343" t="s">
        <v>990</v>
      </c>
      <c r="B2" s="2343"/>
      <c r="C2" s="2343"/>
      <c r="D2" s="2343"/>
      <c r="E2" s="2343"/>
      <c r="F2" s="2343"/>
      <c r="G2" s="1784"/>
      <c r="H2" s="343" t="s">
        <v>37</v>
      </c>
    </row>
    <row r="3" spans="1:12" ht="48" customHeight="1" thickBot="1">
      <c r="A3" s="1785" t="s">
        <v>0</v>
      </c>
      <c r="B3" s="1785" t="s">
        <v>44</v>
      </c>
      <c r="C3" s="1785" t="s">
        <v>8</v>
      </c>
      <c r="D3" s="1785" t="s">
        <v>45</v>
      </c>
      <c r="E3" s="1000" t="s">
        <v>238</v>
      </c>
      <c r="F3" s="1000" t="s">
        <v>23</v>
      </c>
      <c r="G3" s="1000" t="s">
        <v>20</v>
      </c>
      <c r="H3" s="1000" t="s">
        <v>991</v>
      </c>
    </row>
    <row r="4" spans="1:12" ht="10.5" customHeight="1" thickBot="1">
      <c r="A4" s="1786" t="s">
        <v>1</v>
      </c>
      <c r="B4" s="1786" t="s">
        <v>2</v>
      </c>
      <c r="C4" s="1786" t="s">
        <v>3</v>
      </c>
      <c r="D4" s="1786" t="s">
        <v>4</v>
      </c>
      <c r="E4" s="1786" t="s">
        <v>240</v>
      </c>
      <c r="F4" s="1786" t="s">
        <v>241</v>
      </c>
      <c r="G4" s="1786" t="s">
        <v>242</v>
      </c>
      <c r="H4" s="1786" t="s">
        <v>243</v>
      </c>
    </row>
    <row r="5" spans="1:12" ht="23.25" customHeight="1">
      <c r="A5" s="2344" t="s">
        <v>5</v>
      </c>
      <c r="B5" s="2346" t="s">
        <v>244</v>
      </c>
      <c r="C5" s="2346"/>
      <c r="D5" s="2346"/>
      <c r="E5" s="1787">
        <f>SUM(E6,E9,E12)</f>
        <v>7462000</v>
      </c>
      <c r="F5" s="1787">
        <f>SUM(F6,F9,F12)</f>
        <v>4036410</v>
      </c>
      <c r="G5" s="1787">
        <f>SUM(G6,G9,G12)</f>
        <v>4031742</v>
      </c>
      <c r="H5" s="1788">
        <f t="shared" ref="H5:H53" si="0">G5/F5</f>
        <v>0.99884352679732735</v>
      </c>
    </row>
    <row r="6" spans="1:12">
      <c r="A6" s="2345"/>
      <c r="B6" s="2347" t="s">
        <v>259</v>
      </c>
      <c r="C6" s="2348" t="s">
        <v>260</v>
      </c>
      <c r="D6" s="2348"/>
      <c r="E6" s="1789">
        <f>SUM(E7:E8)</f>
        <v>7368000</v>
      </c>
      <c r="F6" s="1789">
        <f>SUM(F7:F8)</f>
        <v>0</v>
      </c>
      <c r="G6" s="1789">
        <f>SUM(G7:G8)</f>
        <v>0</v>
      </c>
      <c r="H6" s="1790"/>
    </row>
    <row r="7" spans="1:12">
      <c r="A7" s="2345"/>
      <c r="B7" s="2347"/>
      <c r="C7" s="1791" t="s">
        <v>360</v>
      </c>
      <c r="D7" s="1792"/>
      <c r="E7" s="1793">
        <v>4350000</v>
      </c>
      <c r="F7" s="1794"/>
      <c r="G7" s="1795"/>
      <c r="H7" s="1796"/>
    </row>
    <row r="8" spans="1:12">
      <c r="A8" s="2345"/>
      <c r="B8" s="2347"/>
      <c r="C8" s="1791" t="s">
        <v>992</v>
      </c>
      <c r="D8" s="1797"/>
      <c r="E8" s="1793">
        <v>3018000</v>
      </c>
      <c r="F8" s="1794"/>
      <c r="G8" s="1798"/>
      <c r="H8" s="1796"/>
      <c r="L8" s="1799"/>
    </row>
    <row r="9" spans="1:12" s="1782" customFormat="1" hidden="1">
      <c r="A9" s="2345"/>
      <c r="B9" s="2349" t="s">
        <v>277</v>
      </c>
      <c r="C9" s="2348" t="s">
        <v>131</v>
      </c>
      <c r="D9" s="2348"/>
      <c r="E9" s="1789">
        <f>SUM(E10:E11)</f>
        <v>0</v>
      </c>
      <c r="F9" s="1789">
        <f t="shared" ref="F9:G9" si="1">SUM(F10:F11)</f>
        <v>0</v>
      </c>
      <c r="G9" s="1789">
        <f t="shared" si="1"/>
        <v>0</v>
      </c>
      <c r="H9" s="1790" t="e">
        <f t="shared" si="0"/>
        <v>#DIV/0!</v>
      </c>
      <c r="J9" s="1783"/>
      <c r="K9" s="1783"/>
      <c r="L9" s="1783"/>
    </row>
    <row r="10" spans="1:12" s="1782" customFormat="1" hidden="1">
      <c r="A10" s="2345"/>
      <c r="B10" s="2350"/>
      <c r="C10" s="1791" t="s">
        <v>992</v>
      </c>
      <c r="D10" s="1797"/>
      <c r="E10" s="1793">
        <v>0</v>
      </c>
      <c r="F10" s="1794"/>
      <c r="G10" s="1795"/>
      <c r="H10" s="1796" t="e">
        <f t="shared" si="0"/>
        <v>#DIV/0!</v>
      </c>
      <c r="J10" s="1783"/>
      <c r="K10" s="1783"/>
      <c r="L10" s="1783"/>
    </row>
    <row r="11" spans="1:12" s="1782" customFormat="1" hidden="1">
      <c r="A11" s="2345"/>
      <c r="B11" s="2351"/>
      <c r="C11" s="1791" t="s">
        <v>993</v>
      </c>
      <c r="D11" s="1797"/>
      <c r="E11" s="1793">
        <v>0</v>
      </c>
      <c r="F11" s="1794"/>
      <c r="G11" s="1795"/>
      <c r="H11" s="1796" t="e">
        <f t="shared" si="0"/>
        <v>#DIV/0!</v>
      </c>
      <c r="J11" s="1783"/>
      <c r="K11" s="1783"/>
      <c r="L11" s="1783"/>
    </row>
    <row r="12" spans="1:12" s="1782" customFormat="1">
      <c r="A12" s="2345"/>
      <c r="B12" s="2347" t="s">
        <v>279</v>
      </c>
      <c r="C12" s="2348" t="s">
        <v>11</v>
      </c>
      <c r="D12" s="2348"/>
      <c r="E12" s="1789">
        <f>SUM(E13)</f>
        <v>94000</v>
      </c>
      <c r="F12" s="1789">
        <f>SUM(F13)</f>
        <v>4036410</v>
      </c>
      <c r="G12" s="1789">
        <f>SUM(G13)</f>
        <v>4031742</v>
      </c>
      <c r="H12" s="1790">
        <f t="shared" si="0"/>
        <v>0.99884352679732735</v>
      </c>
      <c r="J12" s="1783"/>
      <c r="K12" s="1783"/>
      <c r="L12" s="1783"/>
    </row>
    <row r="13" spans="1:12" s="1782" customFormat="1">
      <c r="A13" s="2345"/>
      <c r="B13" s="2347"/>
      <c r="C13" s="1791" t="s">
        <v>360</v>
      </c>
      <c r="D13" s="1800"/>
      <c r="E13" s="1793">
        <v>94000</v>
      </c>
      <c r="F13" s="1794">
        <v>4036410</v>
      </c>
      <c r="G13" s="1795">
        <v>4031742</v>
      </c>
      <c r="H13" s="1796">
        <f t="shared" si="0"/>
        <v>0.99884352679732735</v>
      </c>
      <c r="J13" s="1783"/>
      <c r="K13" s="1783"/>
      <c r="L13" s="1783"/>
    </row>
    <row r="14" spans="1:12" s="1782" customFormat="1" ht="23.25" customHeight="1">
      <c r="A14" s="2352" t="s">
        <v>13</v>
      </c>
      <c r="B14" s="2354" t="s">
        <v>300</v>
      </c>
      <c r="C14" s="2354"/>
      <c r="D14" s="2354"/>
      <c r="E14" s="1801">
        <f>SUM(E15,E17)</f>
        <v>57149000</v>
      </c>
      <c r="F14" s="1801">
        <f>SUM(F15,F17)</f>
        <v>56992000</v>
      </c>
      <c r="G14" s="1801">
        <f>SUM(G15,G17)</f>
        <v>51920822</v>
      </c>
      <c r="H14" s="1802">
        <f t="shared" si="0"/>
        <v>0.91101947641774284</v>
      </c>
      <c r="J14" s="1783"/>
      <c r="K14" s="1783"/>
      <c r="L14" s="1783"/>
    </row>
    <row r="15" spans="1:12" s="1782" customFormat="1">
      <c r="A15" s="2353"/>
      <c r="B15" s="2347" t="s">
        <v>696</v>
      </c>
      <c r="C15" s="2348" t="s">
        <v>311</v>
      </c>
      <c r="D15" s="2348"/>
      <c r="E15" s="1789">
        <f>SUM(E16)</f>
        <v>57000000</v>
      </c>
      <c r="F15" s="1789">
        <f>SUM(F16)</f>
        <v>56803000</v>
      </c>
      <c r="G15" s="1789">
        <f>SUM(G16)</f>
        <v>51731822</v>
      </c>
      <c r="H15" s="1803">
        <f t="shared" si="0"/>
        <v>0.9107234124958189</v>
      </c>
      <c r="J15" s="1783"/>
      <c r="K15" s="1783"/>
      <c r="L15" s="1783"/>
    </row>
    <row r="16" spans="1:12" s="1782" customFormat="1">
      <c r="A16" s="2353"/>
      <c r="B16" s="2347"/>
      <c r="C16" s="1791" t="s">
        <v>360</v>
      </c>
      <c r="D16" s="1792"/>
      <c r="E16" s="1794">
        <v>57000000</v>
      </c>
      <c r="F16" s="1794">
        <v>56803000</v>
      </c>
      <c r="G16" s="1795">
        <v>51731822</v>
      </c>
      <c r="H16" s="1804">
        <f t="shared" si="0"/>
        <v>0.9107234124958189</v>
      </c>
      <c r="J16" s="1783"/>
      <c r="K16" s="1783"/>
      <c r="L16" s="1783"/>
    </row>
    <row r="17" spans="1:12" s="1782" customFormat="1">
      <c r="A17" s="2353"/>
      <c r="B17" s="2347" t="s">
        <v>132</v>
      </c>
      <c r="C17" s="2348" t="s">
        <v>11</v>
      </c>
      <c r="D17" s="2348"/>
      <c r="E17" s="1789">
        <f>SUM(E18)</f>
        <v>149000</v>
      </c>
      <c r="F17" s="1789">
        <f>SUM(F18)</f>
        <v>189000</v>
      </c>
      <c r="G17" s="1789">
        <f>SUM(G18)</f>
        <v>189000</v>
      </c>
      <c r="H17" s="1803">
        <f t="shared" si="0"/>
        <v>1</v>
      </c>
      <c r="J17" s="1783"/>
      <c r="K17" s="1783"/>
      <c r="L17" s="1783"/>
    </row>
    <row r="18" spans="1:12" s="1782" customFormat="1">
      <c r="A18" s="2344"/>
      <c r="B18" s="2347"/>
      <c r="C18" s="1791" t="s">
        <v>360</v>
      </c>
      <c r="D18" s="1792"/>
      <c r="E18" s="1794">
        <v>149000</v>
      </c>
      <c r="F18" s="1794">
        <v>189000</v>
      </c>
      <c r="G18" s="1795">
        <v>189000</v>
      </c>
      <c r="H18" s="1804">
        <f t="shared" si="0"/>
        <v>1</v>
      </c>
      <c r="J18" s="1783"/>
      <c r="K18" s="1783"/>
      <c r="L18" s="1783"/>
    </row>
    <row r="19" spans="1:12" s="1782" customFormat="1" ht="23.25" customHeight="1">
      <c r="A19" s="2352" t="s">
        <v>72</v>
      </c>
      <c r="B19" s="2354" t="s">
        <v>73</v>
      </c>
      <c r="C19" s="2354"/>
      <c r="D19" s="2354"/>
      <c r="E19" s="1801">
        <f>SUM(E20)</f>
        <v>34000</v>
      </c>
      <c r="F19" s="1801">
        <f t="shared" ref="E19:G20" si="2">SUM(F20)</f>
        <v>34000</v>
      </c>
      <c r="G19" s="1801">
        <f t="shared" si="2"/>
        <v>34000</v>
      </c>
      <c r="H19" s="1802">
        <f t="shared" si="0"/>
        <v>1</v>
      </c>
      <c r="J19" s="1783"/>
      <c r="K19" s="1783"/>
      <c r="L19" s="1783"/>
    </row>
    <row r="20" spans="1:12" s="1782" customFormat="1">
      <c r="A20" s="2353"/>
      <c r="B20" s="2347" t="s">
        <v>76</v>
      </c>
      <c r="C20" s="2348" t="s">
        <v>11</v>
      </c>
      <c r="D20" s="2348"/>
      <c r="E20" s="1789">
        <f t="shared" si="2"/>
        <v>34000</v>
      </c>
      <c r="F20" s="1789">
        <f t="shared" si="2"/>
        <v>34000</v>
      </c>
      <c r="G20" s="1789">
        <f t="shared" si="2"/>
        <v>34000</v>
      </c>
      <c r="H20" s="1803">
        <f t="shared" si="0"/>
        <v>1</v>
      </c>
      <c r="J20" s="1783"/>
      <c r="K20" s="1783"/>
      <c r="L20" s="1783"/>
    </row>
    <row r="21" spans="1:12" s="1782" customFormat="1">
      <c r="A21" s="2353"/>
      <c r="B21" s="2349"/>
      <c r="C21" s="1805" t="s">
        <v>360</v>
      </c>
      <c r="D21" s="1806"/>
      <c r="E21" s="1807">
        <v>34000</v>
      </c>
      <c r="F21" s="1807">
        <v>34000</v>
      </c>
      <c r="G21" s="1808">
        <v>34000</v>
      </c>
      <c r="H21" s="1809">
        <f t="shared" si="0"/>
        <v>1</v>
      </c>
      <c r="J21" s="1783"/>
      <c r="K21" s="1783"/>
      <c r="L21" s="1783"/>
    </row>
    <row r="22" spans="1:12" s="1782" customFormat="1" ht="23.25" customHeight="1">
      <c r="A22" s="2352" t="s">
        <v>720</v>
      </c>
      <c r="B22" s="2354" t="s">
        <v>350</v>
      </c>
      <c r="C22" s="2354"/>
      <c r="D22" s="2354"/>
      <c r="E22" s="1801">
        <f>SUM(E23,E25)</f>
        <v>575000</v>
      </c>
      <c r="F22" s="1801">
        <f t="shared" ref="F22:G22" si="3">SUM(F23,F25)</f>
        <v>475000</v>
      </c>
      <c r="G22" s="1801">
        <f t="shared" si="3"/>
        <v>474991</v>
      </c>
      <c r="H22" s="1802">
        <f t="shared" si="0"/>
        <v>0.99998105263157899</v>
      </c>
      <c r="J22" s="1783"/>
      <c r="K22" s="1783"/>
      <c r="L22" s="1783"/>
    </row>
    <row r="23" spans="1:12" s="1782" customFormat="1">
      <c r="A23" s="2353"/>
      <c r="B23" s="2347" t="s">
        <v>726</v>
      </c>
      <c r="C23" s="2348" t="s">
        <v>994</v>
      </c>
      <c r="D23" s="2348"/>
      <c r="E23" s="1789">
        <f>SUM(E24)</f>
        <v>475000</v>
      </c>
      <c r="F23" s="1789">
        <f>SUM(F24)</f>
        <v>475000</v>
      </c>
      <c r="G23" s="1789">
        <f>SUM(G24)</f>
        <v>474991</v>
      </c>
      <c r="H23" s="1803">
        <f t="shared" si="0"/>
        <v>0.99998105263157899</v>
      </c>
      <c r="J23" s="1783"/>
      <c r="K23" s="1783"/>
      <c r="L23" s="1783"/>
    </row>
    <row r="24" spans="1:12" s="1782" customFormat="1">
      <c r="A24" s="2353"/>
      <c r="B24" s="2347"/>
      <c r="C24" s="1791" t="s">
        <v>360</v>
      </c>
      <c r="D24" s="1792"/>
      <c r="E24" s="1794">
        <v>475000</v>
      </c>
      <c r="F24" s="1794">
        <v>475000</v>
      </c>
      <c r="G24" s="1795">
        <v>474991</v>
      </c>
      <c r="H24" s="1804">
        <f t="shared" si="0"/>
        <v>0.99998105263157899</v>
      </c>
      <c r="J24" s="1783"/>
      <c r="K24" s="1783"/>
      <c r="L24" s="1783"/>
    </row>
    <row r="25" spans="1:12" s="1782" customFormat="1">
      <c r="A25" s="2353"/>
      <c r="B25" s="2349" t="s">
        <v>728</v>
      </c>
      <c r="C25" s="2348" t="s">
        <v>11</v>
      </c>
      <c r="D25" s="2348"/>
      <c r="E25" s="1789">
        <f>SUM(E26:E26)</f>
        <v>100000</v>
      </c>
      <c r="F25" s="1789">
        <f>SUM(F26:F26)</f>
        <v>0</v>
      </c>
      <c r="G25" s="1789">
        <f>SUM(G26:G26)</f>
        <v>0</v>
      </c>
      <c r="H25" s="1803"/>
      <c r="J25" s="1783"/>
      <c r="K25" s="1783"/>
      <c r="L25" s="1783"/>
    </row>
    <row r="26" spans="1:12" s="1782" customFormat="1">
      <c r="A26" s="2353"/>
      <c r="B26" s="2350"/>
      <c r="C26" s="1791" t="s">
        <v>360</v>
      </c>
      <c r="D26" s="1792"/>
      <c r="E26" s="1794">
        <v>100000</v>
      </c>
      <c r="F26" s="1794"/>
      <c r="G26" s="1795"/>
      <c r="H26" s="1804"/>
      <c r="J26" s="1783"/>
      <c r="K26" s="1783"/>
      <c r="L26" s="1783"/>
    </row>
    <row r="27" spans="1:12" s="1782" customFormat="1" ht="23.25" customHeight="1">
      <c r="A27" s="2352" t="s">
        <v>7</v>
      </c>
      <c r="B27" s="2354" t="s">
        <v>59</v>
      </c>
      <c r="C27" s="2354"/>
      <c r="D27" s="2354"/>
      <c r="E27" s="1801">
        <f>SUM(E28,E30,E32)</f>
        <v>365000</v>
      </c>
      <c r="F27" s="1801">
        <f t="shared" ref="F27:G27" si="4">SUM(F28,F30,F32)</f>
        <v>361000</v>
      </c>
      <c r="G27" s="1801">
        <f t="shared" si="4"/>
        <v>351020</v>
      </c>
      <c r="H27" s="1802">
        <f t="shared" si="0"/>
        <v>0.97235457063711916</v>
      </c>
      <c r="J27" s="1783"/>
      <c r="K27" s="1783"/>
      <c r="L27" s="1783"/>
    </row>
    <row r="28" spans="1:12" s="1782" customFormat="1">
      <c r="A28" s="2353"/>
      <c r="B28" s="2347" t="s">
        <v>748</v>
      </c>
      <c r="C28" s="2348" t="s">
        <v>374</v>
      </c>
      <c r="D28" s="2348"/>
      <c r="E28" s="1789">
        <f>SUM(E29)</f>
        <v>145000</v>
      </c>
      <c r="F28" s="1789">
        <f>SUM(F29)</f>
        <v>145000</v>
      </c>
      <c r="G28" s="1789">
        <f>SUM(G29)</f>
        <v>145000</v>
      </c>
      <c r="H28" s="1803">
        <f t="shared" si="0"/>
        <v>1</v>
      </c>
      <c r="J28" s="1783"/>
      <c r="K28" s="1783"/>
      <c r="L28" s="1783"/>
    </row>
    <row r="29" spans="1:12" s="1782" customFormat="1">
      <c r="A29" s="2353"/>
      <c r="B29" s="2347"/>
      <c r="C29" s="1791" t="s">
        <v>360</v>
      </c>
      <c r="D29" s="1792"/>
      <c r="E29" s="1794">
        <v>145000</v>
      </c>
      <c r="F29" s="1794">
        <v>145000</v>
      </c>
      <c r="G29" s="1795">
        <v>145000</v>
      </c>
      <c r="H29" s="1804">
        <f t="shared" si="0"/>
        <v>1</v>
      </c>
      <c r="J29" s="1783"/>
      <c r="K29" s="1783"/>
      <c r="L29" s="1783"/>
    </row>
    <row r="30" spans="1:12" s="1782" customFormat="1">
      <c r="A30" s="2353"/>
      <c r="B30" s="2347" t="s">
        <v>772</v>
      </c>
      <c r="C30" s="2348" t="s">
        <v>381</v>
      </c>
      <c r="D30" s="2348"/>
      <c r="E30" s="1789">
        <f>SUM(E31)</f>
        <v>20000</v>
      </c>
      <c r="F30" s="1789">
        <f>SUM(F31)</f>
        <v>16000</v>
      </c>
      <c r="G30" s="1789">
        <f>SUM(G31)</f>
        <v>8881</v>
      </c>
      <c r="H30" s="1803">
        <f t="shared" si="0"/>
        <v>0.55506250000000001</v>
      </c>
      <c r="J30" s="1783"/>
      <c r="K30" s="1783"/>
      <c r="L30" s="1783"/>
    </row>
    <row r="31" spans="1:12" s="1782" customFormat="1">
      <c r="A31" s="2353"/>
      <c r="B31" s="2347"/>
      <c r="C31" s="1791" t="s">
        <v>360</v>
      </c>
      <c r="D31" s="1792"/>
      <c r="E31" s="1794">
        <v>20000</v>
      </c>
      <c r="F31" s="1794">
        <v>16000</v>
      </c>
      <c r="G31" s="1795">
        <v>8881</v>
      </c>
      <c r="H31" s="1804">
        <f t="shared" si="0"/>
        <v>0.55506250000000001</v>
      </c>
      <c r="J31" s="1783"/>
      <c r="K31" s="1783"/>
      <c r="L31" s="1783"/>
    </row>
    <row r="32" spans="1:12" s="1782" customFormat="1">
      <c r="A32" s="2353"/>
      <c r="B32" s="2349" t="s">
        <v>778</v>
      </c>
      <c r="C32" s="2355" t="s">
        <v>396</v>
      </c>
      <c r="D32" s="2355"/>
      <c r="E32" s="1789">
        <f>SUM(E33:E33)</f>
        <v>200000</v>
      </c>
      <c r="F32" s="1789">
        <f>SUM(F33:F33)</f>
        <v>200000</v>
      </c>
      <c r="G32" s="1789">
        <f>SUM(G33:G33)</f>
        <v>197139</v>
      </c>
      <c r="H32" s="1803">
        <f t="shared" si="0"/>
        <v>0.98569499999999999</v>
      </c>
      <c r="J32" s="1783"/>
      <c r="K32" s="1783"/>
      <c r="L32" s="1783"/>
    </row>
    <row r="33" spans="1:12" s="1782" customFormat="1">
      <c r="A33" s="2344"/>
      <c r="B33" s="2351"/>
      <c r="C33" s="1791" t="s">
        <v>360</v>
      </c>
      <c r="D33" s="1792"/>
      <c r="E33" s="1794">
        <v>200000</v>
      </c>
      <c r="F33" s="1794">
        <v>200000</v>
      </c>
      <c r="G33" s="1795">
        <v>197139</v>
      </c>
      <c r="H33" s="1804">
        <f t="shared" si="0"/>
        <v>0.98569499999999999</v>
      </c>
      <c r="J33" s="1783"/>
      <c r="K33" s="1783"/>
      <c r="L33" s="1783"/>
    </row>
    <row r="34" spans="1:12" s="1782" customFormat="1" ht="30" customHeight="1">
      <c r="A34" s="2352" t="s">
        <v>789</v>
      </c>
      <c r="B34" s="2356" t="s">
        <v>409</v>
      </c>
      <c r="C34" s="2356"/>
      <c r="D34" s="2356"/>
      <c r="E34" s="1801">
        <f t="shared" ref="E34:G35" si="5">SUM(E35)</f>
        <v>0</v>
      </c>
      <c r="F34" s="1801">
        <f t="shared" si="5"/>
        <v>1014606</v>
      </c>
      <c r="G34" s="1801">
        <f t="shared" si="5"/>
        <v>927917</v>
      </c>
      <c r="H34" s="1802">
        <f t="shared" si="0"/>
        <v>0.91455895194784975</v>
      </c>
      <c r="J34" s="1783"/>
      <c r="K34" s="1783"/>
      <c r="L34" s="1783"/>
    </row>
    <row r="35" spans="1:12" s="1782" customFormat="1" ht="52.5" customHeight="1">
      <c r="A35" s="2353"/>
      <c r="B35" s="2347" t="s">
        <v>995</v>
      </c>
      <c r="C35" s="2355" t="s">
        <v>996</v>
      </c>
      <c r="D35" s="2355"/>
      <c r="E35" s="1789">
        <f t="shared" si="5"/>
        <v>0</v>
      </c>
      <c r="F35" s="1789">
        <f t="shared" si="5"/>
        <v>1014606</v>
      </c>
      <c r="G35" s="1789">
        <f t="shared" si="5"/>
        <v>927917</v>
      </c>
      <c r="H35" s="1803">
        <f t="shared" si="0"/>
        <v>0.91455895194784975</v>
      </c>
      <c r="J35" s="1783"/>
      <c r="K35" s="1783"/>
      <c r="L35" s="1783"/>
    </row>
    <row r="36" spans="1:12" s="1782" customFormat="1">
      <c r="A36" s="2353"/>
      <c r="B36" s="2347"/>
      <c r="C36" s="1791" t="s">
        <v>360</v>
      </c>
      <c r="D36" s="1792"/>
      <c r="E36" s="1794"/>
      <c r="F36" s="1794">
        <v>1014606</v>
      </c>
      <c r="G36" s="1795">
        <v>927917</v>
      </c>
      <c r="H36" s="1804">
        <f t="shared" si="0"/>
        <v>0.91455895194784975</v>
      </c>
      <c r="J36" s="1783"/>
      <c r="K36" s="1783"/>
      <c r="L36" s="1783"/>
    </row>
    <row r="37" spans="1:12" s="1782" customFormat="1" ht="23.25" customHeight="1">
      <c r="A37" s="2352" t="s">
        <v>84</v>
      </c>
      <c r="B37" s="2354" t="s">
        <v>85</v>
      </c>
      <c r="C37" s="2354"/>
      <c r="D37" s="2354"/>
      <c r="E37" s="1801">
        <f t="shared" ref="E37:G38" si="6">SUM(E38)</f>
        <v>0</v>
      </c>
      <c r="F37" s="1801">
        <f t="shared" si="6"/>
        <v>12619</v>
      </c>
      <c r="G37" s="1801">
        <f t="shared" si="6"/>
        <v>12447</v>
      </c>
      <c r="H37" s="1802">
        <f t="shared" si="0"/>
        <v>0.98636975988588638</v>
      </c>
      <c r="J37" s="1783"/>
      <c r="K37" s="1783"/>
      <c r="L37" s="1783"/>
    </row>
    <row r="38" spans="1:12" s="1782" customFormat="1" ht="39" customHeight="1">
      <c r="A38" s="2353"/>
      <c r="B38" s="2347" t="s">
        <v>858</v>
      </c>
      <c r="C38" s="2355" t="s">
        <v>467</v>
      </c>
      <c r="D38" s="2355"/>
      <c r="E38" s="1789">
        <f t="shared" si="6"/>
        <v>0</v>
      </c>
      <c r="F38" s="1789">
        <f t="shared" si="6"/>
        <v>12619</v>
      </c>
      <c r="G38" s="1789">
        <f t="shared" si="6"/>
        <v>12447</v>
      </c>
      <c r="H38" s="1803">
        <f t="shared" si="0"/>
        <v>0.98636975988588638</v>
      </c>
      <c r="J38" s="1783"/>
      <c r="K38" s="1783"/>
      <c r="L38" s="1783"/>
    </row>
    <row r="39" spans="1:12" s="1782" customFormat="1">
      <c r="A39" s="2353"/>
      <c r="B39" s="2347"/>
      <c r="C39" s="1791" t="s">
        <v>360</v>
      </c>
      <c r="D39" s="1792"/>
      <c r="E39" s="1794"/>
      <c r="F39" s="1794">
        <v>12619</v>
      </c>
      <c r="G39" s="1795">
        <v>12447</v>
      </c>
      <c r="H39" s="1804">
        <f t="shared" si="0"/>
        <v>0.98636975988588638</v>
      </c>
      <c r="J39" s="1783"/>
      <c r="K39" s="1783"/>
      <c r="L39" s="1783"/>
    </row>
    <row r="40" spans="1:12" s="1782" customFormat="1" ht="23.25" customHeight="1">
      <c r="A40" s="2352" t="s">
        <v>119</v>
      </c>
      <c r="B40" s="2354" t="s">
        <v>120</v>
      </c>
      <c r="C40" s="2354"/>
      <c r="D40" s="2354"/>
      <c r="E40" s="1801">
        <f>SUM(E43,E45,E41)</f>
        <v>97000</v>
      </c>
      <c r="F40" s="1801">
        <f t="shared" ref="F40:G40" si="7">SUM(F43,F45,F41)</f>
        <v>823412</v>
      </c>
      <c r="G40" s="1801">
        <f t="shared" si="7"/>
        <v>776880</v>
      </c>
      <c r="H40" s="1802">
        <f t="shared" si="0"/>
        <v>0.94348880026037996</v>
      </c>
      <c r="J40" s="1783"/>
      <c r="K40" s="1783"/>
      <c r="L40" s="1783"/>
    </row>
    <row r="41" spans="1:12" s="1782" customFormat="1">
      <c r="A41" s="2353"/>
      <c r="B41" s="2347" t="s">
        <v>187</v>
      </c>
      <c r="C41" s="2348" t="s">
        <v>487</v>
      </c>
      <c r="D41" s="2348"/>
      <c r="E41" s="1789">
        <f>SUM(E42)</f>
        <v>40000</v>
      </c>
      <c r="F41" s="1789">
        <f>SUM(F42)</f>
        <v>740000</v>
      </c>
      <c r="G41" s="1789">
        <f>SUM(G42)</f>
        <v>721947</v>
      </c>
      <c r="H41" s="1803">
        <f t="shared" si="0"/>
        <v>0.97560405405405404</v>
      </c>
      <c r="J41" s="1783"/>
      <c r="K41" s="1783"/>
      <c r="L41" s="1783"/>
    </row>
    <row r="42" spans="1:12" s="1782" customFormat="1">
      <c r="A42" s="2353"/>
      <c r="B42" s="2347"/>
      <c r="C42" s="1791" t="s">
        <v>992</v>
      </c>
      <c r="D42" s="1792"/>
      <c r="E42" s="1794">
        <v>40000</v>
      </c>
      <c r="F42" s="1794">
        <v>740000</v>
      </c>
      <c r="G42" s="1795">
        <v>721947</v>
      </c>
      <c r="H42" s="1804">
        <f t="shared" si="0"/>
        <v>0.97560405405405404</v>
      </c>
      <c r="J42" s="1783"/>
      <c r="K42" s="1783"/>
      <c r="L42" s="1783"/>
    </row>
    <row r="43" spans="1:12" s="1782" customFormat="1" ht="37.5" customHeight="1">
      <c r="A43" s="2353"/>
      <c r="B43" s="2347" t="s">
        <v>894</v>
      </c>
      <c r="C43" s="2357" t="s">
        <v>494</v>
      </c>
      <c r="D43" s="2358"/>
      <c r="E43" s="1789">
        <f>SUM(E44)</f>
        <v>27000</v>
      </c>
      <c r="F43" s="1789">
        <f>SUM(F44)</f>
        <v>22612</v>
      </c>
      <c r="G43" s="1789">
        <f>SUM(G44)</f>
        <v>22333</v>
      </c>
      <c r="H43" s="1803">
        <f t="shared" si="0"/>
        <v>0.98766141871572621</v>
      </c>
      <c r="J43" s="1783"/>
      <c r="K43" s="1783"/>
      <c r="L43" s="1783"/>
    </row>
    <row r="44" spans="1:12" s="1782" customFormat="1">
      <c r="A44" s="2353"/>
      <c r="B44" s="2347"/>
      <c r="C44" s="1791" t="s">
        <v>360</v>
      </c>
      <c r="D44" s="1792"/>
      <c r="E44" s="1794">
        <v>27000</v>
      </c>
      <c r="F44" s="1794">
        <v>22612</v>
      </c>
      <c r="G44" s="1795">
        <v>22333</v>
      </c>
      <c r="H44" s="1804">
        <f t="shared" si="0"/>
        <v>0.98766141871572621</v>
      </c>
      <c r="J44" s="1783"/>
      <c r="K44" s="1783"/>
      <c r="L44" s="1783"/>
    </row>
    <row r="45" spans="1:12" s="1782" customFormat="1">
      <c r="A45" s="2353"/>
      <c r="B45" s="2347" t="s">
        <v>897</v>
      </c>
      <c r="C45" s="2348" t="s">
        <v>11</v>
      </c>
      <c r="D45" s="2348"/>
      <c r="E45" s="1789">
        <f>SUM(E46)</f>
        <v>30000</v>
      </c>
      <c r="F45" s="1789">
        <f>SUM(F46)</f>
        <v>60800</v>
      </c>
      <c r="G45" s="1789">
        <f>SUM(G46)</f>
        <v>32600</v>
      </c>
      <c r="H45" s="1803">
        <f t="shared" si="0"/>
        <v>0.53618421052631582</v>
      </c>
      <c r="J45" s="1783"/>
      <c r="K45" s="1783"/>
      <c r="L45" s="1783"/>
    </row>
    <row r="46" spans="1:12" s="1782" customFormat="1">
      <c r="A46" s="2344"/>
      <c r="B46" s="2347"/>
      <c r="C46" s="1791" t="s">
        <v>360</v>
      </c>
      <c r="D46" s="1792"/>
      <c r="E46" s="1794">
        <v>30000</v>
      </c>
      <c r="F46" s="1794">
        <v>60800</v>
      </c>
      <c r="G46" s="1795">
        <v>32600</v>
      </c>
      <c r="H46" s="1804">
        <f t="shared" si="0"/>
        <v>0.53618421052631582</v>
      </c>
      <c r="J46" s="1783"/>
      <c r="K46" s="1783"/>
      <c r="L46" s="1783"/>
    </row>
    <row r="47" spans="1:12" s="1782" customFormat="1" ht="23.25" customHeight="1">
      <c r="A47" s="2352" t="s">
        <v>915</v>
      </c>
      <c r="B47" s="2354" t="s">
        <v>502</v>
      </c>
      <c r="C47" s="2354"/>
      <c r="D47" s="2354"/>
      <c r="E47" s="1801">
        <f t="shared" ref="E47:G48" si="8">SUM(E48)</f>
        <v>2000</v>
      </c>
      <c r="F47" s="1801">
        <f t="shared" si="8"/>
        <v>0</v>
      </c>
      <c r="G47" s="1801">
        <f t="shared" si="8"/>
        <v>0</v>
      </c>
      <c r="H47" s="1802"/>
      <c r="J47" s="1783"/>
      <c r="K47" s="1783"/>
      <c r="L47" s="1783"/>
    </row>
    <row r="48" spans="1:12" s="1782" customFormat="1">
      <c r="A48" s="2353"/>
      <c r="B48" s="2347" t="s">
        <v>925</v>
      </c>
      <c r="C48" s="2348" t="s">
        <v>926</v>
      </c>
      <c r="D48" s="2348"/>
      <c r="E48" s="1789">
        <f t="shared" si="8"/>
        <v>2000</v>
      </c>
      <c r="F48" s="1789">
        <f t="shared" si="8"/>
        <v>0</v>
      </c>
      <c r="G48" s="1789">
        <f t="shared" si="8"/>
        <v>0</v>
      </c>
      <c r="H48" s="1803"/>
      <c r="J48" s="1783"/>
      <c r="K48" s="1783"/>
      <c r="L48" s="1783"/>
    </row>
    <row r="49" spans="1:12" s="1782" customFormat="1">
      <c r="A49" s="2344"/>
      <c r="B49" s="2347"/>
      <c r="C49" s="1791" t="s">
        <v>360</v>
      </c>
      <c r="D49" s="1792"/>
      <c r="E49" s="1794">
        <v>2000</v>
      </c>
      <c r="F49" s="1794"/>
      <c r="G49" s="1795"/>
      <c r="H49" s="1804"/>
      <c r="J49" s="1783"/>
      <c r="K49" s="1783"/>
      <c r="L49" s="1783"/>
    </row>
    <row r="50" spans="1:12" s="1782" customFormat="1" ht="23.25" customHeight="1">
      <c r="A50" s="2352" t="s">
        <v>121</v>
      </c>
      <c r="B50" s="2354" t="s">
        <v>123</v>
      </c>
      <c r="C50" s="2354"/>
      <c r="D50" s="2354"/>
      <c r="E50" s="1801">
        <f>SUM(E51)</f>
        <v>750000</v>
      </c>
      <c r="F50" s="1801">
        <f>SUM(F51)</f>
        <v>1400925</v>
      </c>
      <c r="G50" s="1801">
        <f>SUM(G51)</f>
        <v>1400013</v>
      </c>
      <c r="H50" s="1802">
        <f t="shared" si="0"/>
        <v>0.99934900155254569</v>
      </c>
      <c r="J50" s="1783"/>
      <c r="K50" s="1783"/>
      <c r="L50" s="1783"/>
    </row>
    <row r="51" spans="1:12" s="1782" customFormat="1">
      <c r="A51" s="2353"/>
      <c r="B51" s="2349" t="s">
        <v>939</v>
      </c>
      <c r="C51" s="2348" t="s">
        <v>521</v>
      </c>
      <c r="D51" s="2348"/>
      <c r="E51" s="1789">
        <f>SUM(E52:E52)</f>
        <v>750000</v>
      </c>
      <c r="F51" s="1789">
        <f>SUM(F52:F52)</f>
        <v>1400925</v>
      </c>
      <c r="G51" s="1789">
        <f>SUM(G52:G52)</f>
        <v>1400013</v>
      </c>
      <c r="H51" s="1803">
        <f t="shared" si="0"/>
        <v>0.99934900155254569</v>
      </c>
      <c r="J51" s="1783"/>
      <c r="K51" s="1783"/>
      <c r="L51" s="1783"/>
    </row>
    <row r="52" spans="1:12" s="1782" customFormat="1" ht="13.5" thickBot="1">
      <c r="A52" s="2353"/>
      <c r="B52" s="2350"/>
      <c r="C52" s="1805" t="s">
        <v>360</v>
      </c>
      <c r="D52" s="1806"/>
      <c r="E52" s="1807">
        <v>750000</v>
      </c>
      <c r="F52" s="1807">
        <v>1400925</v>
      </c>
      <c r="G52" s="1808">
        <v>1400013</v>
      </c>
      <c r="H52" s="1809">
        <f t="shared" si="0"/>
        <v>0.99934900155254569</v>
      </c>
      <c r="J52" s="1783"/>
      <c r="K52" s="1783"/>
      <c r="L52" s="1783"/>
    </row>
    <row r="53" spans="1:12" s="1782" customFormat="1" ht="30" customHeight="1" thickBot="1">
      <c r="A53" s="2359" t="s">
        <v>551</v>
      </c>
      <c r="B53" s="2359"/>
      <c r="C53" s="2359"/>
      <c r="D53" s="2359"/>
      <c r="E53" s="1810">
        <f>SUM(E50,E40,E27,E22,E14,E5,E37,E47,E19,E34)</f>
        <v>66434000</v>
      </c>
      <c r="F53" s="1810">
        <f t="shared" ref="F53:G53" si="9">SUM(F50,F40,F27,F22,F14,F5,F37,F47,F19,F34)</f>
        <v>65149972</v>
      </c>
      <c r="G53" s="1810">
        <f t="shared" si="9"/>
        <v>59929832</v>
      </c>
      <c r="H53" s="1811">
        <f t="shared" si="0"/>
        <v>0.91987502312357095</v>
      </c>
    </row>
    <row r="54" spans="1:12" s="1782" customFormat="1">
      <c r="A54" s="1812"/>
      <c r="B54" s="1812"/>
      <c r="C54" s="1813"/>
      <c r="D54" s="1813"/>
      <c r="E54" s="1813"/>
      <c r="F54" s="1814"/>
      <c r="G54" s="1783"/>
      <c r="H54" s="1783"/>
    </row>
    <row r="55" spans="1:12" s="1782" customFormat="1">
      <c r="A55" s="1812"/>
      <c r="B55" s="1812"/>
      <c r="C55" s="1813"/>
      <c r="D55" s="1813"/>
      <c r="E55" s="1813"/>
      <c r="F55" s="1814"/>
      <c r="G55" s="1783"/>
      <c r="H55" s="1783"/>
    </row>
    <row r="56" spans="1:12" s="1782" customFormat="1">
      <c r="A56" s="1812"/>
      <c r="B56" s="1812"/>
      <c r="C56" s="1813"/>
      <c r="D56" s="1813"/>
      <c r="E56" s="1813"/>
      <c r="F56" s="1814"/>
      <c r="G56" s="1783"/>
      <c r="H56" s="1783"/>
    </row>
    <row r="57" spans="1:12" s="1782" customFormat="1" ht="12.75" customHeight="1">
      <c r="A57" s="1812"/>
      <c r="B57" s="1812"/>
      <c r="C57" s="1813"/>
      <c r="D57" s="1813"/>
      <c r="E57" s="1813"/>
      <c r="F57" s="1814"/>
      <c r="G57" s="1782">
        <f>SUM(G7,G13,G16,G18,G24,G26,G29,G31,G33,G39,G44,G46,G52,G21,G36)</f>
        <v>59207885</v>
      </c>
      <c r="H57" s="1783" t="s">
        <v>50</v>
      </c>
    </row>
    <row r="58" spans="1:12" s="1782" customFormat="1">
      <c r="A58" s="1812"/>
      <c r="B58" s="1812"/>
      <c r="C58" s="1813"/>
      <c r="D58" s="1813"/>
      <c r="E58" s="1813"/>
      <c r="F58" s="1814"/>
      <c r="G58" s="1782">
        <f>SUM(G8,G10,G11,G42)</f>
        <v>721947</v>
      </c>
      <c r="H58" s="1783" t="s">
        <v>51</v>
      </c>
    </row>
    <row r="59" spans="1:12" s="1782" customFormat="1">
      <c r="A59" s="1812"/>
      <c r="B59" s="1812"/>
      <c r="C59" s="1813"/>
      <c r="D59" s="1813"/>
      <c r="E59" s="1813"/>
      <c r="F59" s="1814"/>
      <c r="H59" s="1783"/>
    </row>
    <row r="60" spans="1:12" s="1782" customFormat="1">
      <c r="A60" s="1812"/>
      <c r="B60" s="1812"/>
      <c r="C60" s="1813"/>
      <c r="D60" s="1813"/>
      <c r="E60" s="1813"/>
      <c r="F60" s="1814"/>
      <c r="G60" s="1782">
        <f>SUM(G57:G59)</f>
        <v>59929832</v>
      </c>
      <c r="H60" s="1783"/>
    </row>
    <row r="61" spans="1:12" s="1782" customFormat="1">
      <c r="A61" s="1812"/>
      <c r="B61" s="1812"/>
      <c r="C61" s="1813"/>
      <c r="D61" s="1813"/>
      <c r="E61" s="1813"/>
      <c r="F61" s="1814"/>
      <c r="G61" s="1783"/>
      <c r="H61" s="1783"/>
    </row>
    <row r="62" spans="1:12" s="1782" customFormat="1">
      <c r="A62" s="1812"/>
      <c r="B62" s="1812"/>
      <c r="C62" s="1813"/>
      <c r="D62" s="1813"/>
      <c r="E62" s="1813"/>
      <c r="F62" s="1814"/>
      <c r="G62" s="1783"/>
      <c r="H62" s="1783"/>
    </row>
    <row r="63" spans="1:12" s="1782" customFormat="1">
      <c r="A63" s="1812"/>
      <c r="B63" s="1812"/>
      <c r="C63" s="1813"/>
      <c r="D63" s="1813"/>
      <c r="E63" s="1813"/>
      <c r="F63" s="1814"/>
      <c r="G63" s="1783"/>
      <c r="H63" s="1783"/>
    </row>
    <row r="64" spans="1:12" s="1782" customFormat="1">
      <c r="A64" s="1812"/>
      <c r="B64" s="1812"/>
      <c r="C64" s="1813"/>
      <c r="D64" s="1813"/>
      <c r="E64" s="1813"/>
      <c r="F64" s="1814"/>
      <c r="G64" s="1783"/>
      <c r="H64" s="1783"/>
    </row>
    <row r="65" spans="1:8" s="1782" customFormat="1">
      <c r="A65" s="1813"/>
      <c r="B65" s="1812"/>
      <c r="C65" s="1813"/>
      <c r="D65" s="1813"/>
      <c r="E65" s="1813"/>
      <c r="F65" s="1814"/>
      <c r="G65" s="1783"/>
      <c r="H65" s="1783"/>
    </row>
    <row r="66" spans="1:8" s="1782" customFormat="1">
      <c r="A66" s="1813"/>
      <c r="B66" s="1812"/>
      <c r="C66" s="1813"/>
      <c r="D66" s="1813"/>
      <c r="E66" s="1813"/>
      <c r="F66" s="1814"/>
      <c r="G66" s="1783"/>
      <c r="H66" s="1783"/>
    </row>
    <row r="67" spans="1:8" s="1782" customFormat="1">
      <c r="A67" s="1813"/>
      <c r="B67" s="1812"/>
      <c r="C67" s="1813"/>
      <c r="D67" s="1813"/>
      <c r="E67" s="1813"/>
      <c r="F67" s="1814"/>
      <c r="G67" s="1783"/>
      <c r="H67" s="1783"/>
    </row>
    <row r="68" spans="1:8" s="1782" customFormat="1">
      <c r="A68" s="1813"/>
      <c r="B68" s="1812"/>
      <c r="C68" s="1813"/>
      <c r="D68" s="1813"/>
      <c r="E68" s="1813"/>
      <c r="F68" s="1814"/>
      <c r="G68" s="1783"/>
      <c r="H68" s="1783"/>
    </row>
    <row r="69" spans="1:8" s="1782" customFormat="1">
      <c r="A69" s="1813"/>
      <c r="B69" s="1812"/>
      <c r="C69" s="1813"/>
      <c r="D69" s="1813"/>
      <c r="E69" s="1813"/>
      <c r="F69" s="1814"/>
      <c r="G69" s="1783"/>
      <c r="H69" s="1783"/>
    </row>
    <row r="70" spans="1:8" s="1782" customFormat="1">
      <c r="A70" s="1813"/>
      <c r="B70" s="1812"/>
      <c r="C70" s="1813"/>
      <c r="D70" s="1813"/>
      <c r="E70" s="1813"/>
      <c r="F70" s="1814"/>
      <c r="G70" s="1783"/>
      <c r="H70" s="1783"/>
    </row>
    <row r="71" spans="1:8" s="1782" customFormat="1">
      <c r="A71" s="1813"/>
      <c r="B71" s="1812"/>
      <c r="C71" s="1813"/>
      <c r="D71" s="1813"/>
      <c r="E71" s="1813"/>
      <c r="F71" s="1814"/>
      <c r="G71" s="1783"/>
      <c r="H71" s="1783"/>
    </row>
    <row r="72" spans="1:8" s="1782" customFormat="1">
      <c r="A72" s="1813"/>
      <c r="B72" s="1812"/>
      <c r="C72" s="1813"/>
      <c r="D72" s="1813"/>
      <c r="E72" s="1813"/>
      <c r="F72" s="1814"/>
      <c r="G72" s="1783"/>
      <c r="H72" s="1783"/>
    </row>
    <row r="73" spans="1:8" s="1782" customFormat="1">
      <c r="A73" s="1813"/>
      <c r="B73" s="1812"/>
      <c r="C73" s="1813"/>
      <c r="D73" s="1813"/>
      <c r="E73" s="1813"/>
      <c r="F73" s="1814"/>
      <c r="G73" s="1783"/>
      <c r="H73" s="1783"/>
    </row>
    <row r="74" spans="1:8" s="1782" customFormat="1">
      <c r="A74" s="1813"/>
      <c r="B74" s="1812"/>
      <c r="C74" s="1813"/>
      <c r="D74" s="1813"/>
      <c r="E74" s="1813"/>
      <c r="F74" s="1814"/>
      <c r="G74" s="1783"/>
      <c r="H74" s="1783"/>
    </row>
    <row r="75" spans="1:8" s="1782" customFormat="1">
      <c r="A75" s="1813"/>
      <c r="B75" s="1812"/>
      <c r="C75" s="1813"/>
      <c r="D75" s="1813"/>
      <c r="E75" s="1813"/>
      <c r="F75" s="1814"/>
      <c r="G75" s="1783"/>
      <c r="H75" s="1783"/>
    </row>
    <row r="76" spans="1:8" s="1782" customFormat="1">
      <c r="A76" s="1813"/>
      <c r="B76" s="1812"/>
      <c r="C76" s="1813"/>
      <c r="D76" s="1813"/>
      <c r="E76" s="1813"/>
      <c r="F76" s="1814"/>
      <c r="G76" s="1783"/>
      <c r="H76" s="1783"/>
    </row>
    <row r="77" spans="1:8" s="1782" customFormat="1">
      <c r="A77" s="1813"/>
      <c r="B77" s="1812"/>
      <c r="C77" s="1813"/>
      <c r="D77" s="1813"/>
      <c r="E77" s="1813"/>
      <c r="F77" s="1814"/>
      <c r="G77" s="1783"/>
      <c r="H77" s="1783"/>
    </row>
    <row r="78" spans="1:8" s="1782" customFormat="1">
      <c r="A78" s="1813"/>
      <c r="B78" s="1812"/>
      <c r="C78" s="1813"/>
      <c r="D78" s="1813"/>
      <c r="E78" s="1813"/>
      <c r="F78" s="1814"/>
      <c r="G78" s="1783"/>
      <c r="H78" s="1783"/>
    </row>
    <row r="79" spans="1:8" s="1782" customFormat="1">
      <c r="A79" s="1783"/>
      <c r="B79" s="1812"/>
      <c r="C79" s="1813"/>
      <c r="D79" s="1813"/>
      <c r="E79" s="1813"/>
      <c r="F79" s="1814"/>
      <c r="G79" s="1783"/>
      <c r="H79" s="1783"/>
    </row>
    <row r="80" spans="1:8" s="1782" customFormat="1">
      <c r="A80" s="1783"/>
      <c r="B80" s="1812"/>
      <c r="C80" s="1813"/>
      <c r="D80" s="1813"/>
      <c r="E80" s="1813"/>
      <c r="F80" s="1814"/>
      <c r="G80" s="1783"/>
      <c r="H80" s="1783"/>
    </row>
    <row r="81" spans="1:12" s="1782" customFormat="1">
      <c r="A81" s="1783"/>
      <c r="B81" s="1815"/>
      <c r="C81" s="1783"/>
      <c r="D81" s="1783"/>
      <c r="E81" s="1783"/>
      <c r="F81" s="1816"/>
      <c r="G81" s="1783"/>
      <c r="H81" s="1783"/>
      <c r="J81" s="1783"/>
      <c r="K81" s="1783"/>
      <c r="L81" s="1783"/>
    </row>
    <row r="82" spans="1:12" s="1782" customFormat="1">
      <c r="A82" s="1783"/>
      <c r="B82" s="1815"/>
      <c r="C82" s="1783"/>
      <c r="D82" s="1783"/>
      <c r="E82" s="1783"/>
      <c r="F82" s="1816"/>
      <c r="G82" s="1783"/>
      <c r="H82" s="1783"/>
      <c r="J82" s="1783"/>
      <c r="K82" s="1783"/>
      <c r="L82" s="1783"/>
    </row>
    <row r="83" spans="1:12" s="1782" customFormat="1">
      <c r="A83" s="1783"/>
      <c r="B83" s="1815"/>
      <c r="C83" s="1783"/>
      <c r="D83" s="1783"/>
      <c r="E83" s="1783"/>
      <c r="F83" s="1816"/>
      <c r="G83" s="1783"/>
      <c r="H83" s="1783"/>
      <c r="J83" s="1783"/>
      <c r="K83" s="1783"/>
      <c r="L83" s="1783"/>
    </row>
    <row r="84" spans="1:12" s="1782" customFormat="1">
      <c r="A84" s="1783"/>
      <c r="B84" s="1815"/>
      <c r="C84" s="1783"/>
      <c r="D84" s="1783"/>
      <c r="E84" s="1783"/>
      <c r="F84" s="1816"/>
      <c r="G84" s="1783"/>
      <c r="H84" s="1783"/>
      <c r="J84" s="1783"/>
      <c r="K84" s="1783"/>
      <c r="L84" s="1783"/>
    </row>
    <row r="85" spans="1:12" s="1782" customFormat="1">
      <c r="A85" s="1783"/>
      <c r="B85" s="1815"/>
      <c r="C85" s="1783"/>
      <c r="D85" s="1783"/>
      <c r="E85" s="1783"/>
      <c r="F85" s="1816"/>
      <c r="G85" s="1783"/>
      <c r="H85" s="1783"/>
      <c r="J85" s="1783"/>
      <c r="K85" s="1783"/>
      <c r="L85" s="1783"/>
    </row>
    <row r="86" spans="1:12" s="1782" customFormat="1">
      <c r="A86" s="1783"/>
      <c r="B86" s="1815"/>
      <c r="C86" s="1783"/>
      <c r="D86" s="1783"/>
      <c r="E86" s="1783"/>
      <c r="F86" s="1816"/>
      <c r="G86" s="1783"/>
      <c r="H86" s="1783"/>
      <c r="J86" s="1783"/>
      <c r="K86" s="1783"/>
      <c r="L86" s="1783"/>
    </row>
    <row r="87" spans="1:12" s="1782" customFormat="1">
      <c r="A87" s="1783"/>
      <c r="B87" s="1815"/>
      <c r="C87" s="1783"/>
      <c r="D87" s="1783"/>
      <c r="E87" s="1783"/>
      <c r="F87" s="1816"/>
      <c r="G87" s="1783"/>
      <c r="H87" s="1783"/>
      <c r="J87" s="1783"/>
      <c r="K87" s="1783"/>
      <c r="L87" s="1783"/>
    </row>
    <row r="88" spans="1:12" s="1782" customFormat="1">
      <c r="A88" s="1783"/>
      <c r="B88" s="1815"/>
      <c r="C88" s="1783"/>
      <c r="D88" s="1783"/>
      <c r="E88" s="1783"/>
      <c r="F88" s="1816"/>
      <c r="G88" s="1783"/>
      <c r="H88" s="1783"/>
      <c r="J88" s="1783"/>
      <c r="K88" s="1783"/>
      <c r="L88" s="1783"/>
    </row>
    <row r="89" spans="1:12" s="1782" customFormat="1">
      <c r="A89" s="1783"/>
      <c r="B89" s="1815"/>
      <c r="C89" s="1783"/>
      <c r="D89" s="1783"/>
      <c r="E89" s="1783"/>
      <c r="F89" s="1816"/>
      <c r="G89" s="1783"/>
      <c r="H89" s="1783"/>
      <c r="J89" s="1783"/>
      <c r="K89" s="1783"/>
      <c r="L89" s="1783"/>
    </row>
    <row r="90" spans="1:12" s="1782" customFormat="1">
      <c r="A90" s="1783"/>
      <c r="B90" s="1815"/>
      <c r="C90" s="1783"/>
      <c r="D90" s="1783"/>
      <c r="E90" s="1783"/>
      <c r="F90" s="1816"/>
      <c r="G90" s="1783"/>
      <c r="H90" s="1783"/>
      <c r="J90" s="1783"/>
      <c r="K90" s="1783"/>
      <c r="L90" s="1783"/>
    </row>
    <row r="91" spans="1:12" s="1782" customFormat="1">
      <c r="A91" s="1783"/>
      <c r="B91" s="1815"/>
      <c r="C91" s="1783"/>
      <c r="D91" s="1783"/>
      <c r="E91" s="1783"/>
      <c r="F91" s="1816"/>
      <c r="G91" s="1783"/>
      <c r="H91" s="1783"/>
      <c r="J91" s="1783"/>
      <c r="K91" s="1783"/>
      <c r="L91" s="1783"/>
    </row>
    <row r="92" spans="1:12">
      <c r="B92" s="1815"/>
      <c r="F92" s="1816"/>
    </row>
    <row r="93" spans="1:12">
      <c r="B93" s="1815"/>
      <c r="F93" s="1816"/>
    </row>
    <row r="94" spans="1:12">
      <c r="B94" s="1815"/>
      <c r="F94" s="1816"/>
    </row>
    <row r="95" spans="1:12">
      <c r="B95" s="1815"/>
      <c r="F95" s="1816"/>
    </row>
    <row r="96" spans="1:12">
      <c r="B96" s="1815"/>
      <c r="F96" s="1816"/>
    </row>
    <row r="97" spans="6:6">
      <c r="F97" s="1816"/>
    </row>
    <row r="98" spans="6:6">
      <c r="F98" s="1816"/>
    </row>
    <row r="169" spans="4:5">
      <c r="D169" s="1817">
        <f>115000000+12000000</f>
        <v>127000000</v>
      </c>
      <c r="E169" s="1817"/>
    </row>
    <row r="277" spans="4:5">
      <c r="D277" s="1817"/>
      <c r="E277" s="1817"/>
    </row>
  </sheetData>
  <mergeCells count="59">
    <mergeCell ref="A53:D53"/>
    <mergeCell ref="A47:A49"/>
    <mergeCell ref="B47:D47"/>
    <mergeCell ref="B48:B49"/>
    <mergeCell ref="C48:D48"/>
    <mergeCell ref="A50:A52"/>
    <mergeCell ref="B50:D50"/>
    <mergeCell ref="B51:B52"/>
    <mergeCell ref="C51:D51"/>
    <mergeCell ref="A40:A46"/>
    <mergeCell ref="B40:D40"/>
    <mergeCell ref="B41:B42"/>
    <mergeCell ref="C41:D41"/>
    <mergeCell ref="B43:B44"/>
    <mergeCell ref="C43:D43"/>
    <mergeCell ref="B45:B46"/>
    <mergeCell ref="C45:D45"/>
    <mergeCell ref="A34:A36"/>
    <mergeCell ref="B34:D34"/>
    <mergeCell ref="B35:B36"/>
    <mergeCell ref="C35:D35"/>
    <mergeCell ref="A37:A39"/>
    <mergeCell ref="B37:D37"/>
    <mergeCell ref="B38:B39"/>
    <mergeCell ref="C38:D38"/>
    <mergeCell ref="A27:A33"/>
    <mergeCell ref="B27:D27"/>
    <mergeCell ref="B28:B29"/>
    <mergeCell ref="C28:D28"/>
    <mergeCell ref="B30:B31"/>
    <mergeCell ref="C30:D30"/>
    <mergeCell ref="B32:B33"/>
    <mergeCell ref="C32:D32"/>
    <mergeCell ref="A19:A21"/>
    <mergeCell ref="B19:D19"/>
    <mergeCell ref="B20:B21"/>
    <mergeCell ref="C20:D20"/>
    <mergeCell ref="A22:A26"/>
    <mergeCell ref="B22:D22"/>
    <mergeCell ref="B23:B24"/>
    <mergeCell ref="C23:D23"/>
    <mergeCell ref="B25:B26"/>
    <mergeCell ref="C25:D25"/>
    <mergeCell ref="A14:A18"/>
    <mergeCell ref="B14:D14"/>
    <mergeCell ref="B15:B16"/>
    <mergeCell ref="C15:D15"/>
    <mergeCell ref="B17:B18"/>
    <mergeCell ref="C17:D17"/>
    <mergeCell ref="A1:H1"/>
    <mergeCell ref="A2:F2"/>
    <mergeCell ref="A5:A13"/>
    <mergeCell ref="B5:D5"/>
    <mergeCell ref="B6:B8"/>
    <mergeCell ref="C6:D6"/>
    <mergeCell ref="B9:B11"/>
    <mergeCell ref="C9:D9"/>
    <mergeCell ref="B12:B13"/>
    <mergeCell ref="C12:D12"/>
  </mergeCells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  <headerFooter>
    <oddFooter>Strona &amp;P z &amp;N</oddFooter>
  </headerFooter>
  <rowBreaks count="1" manualBreakCount="1">
    <brk id="3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0"/>
  <sheetViews>
    <sheetView view="pageBreakPreview" zoomScaleNormal="75" zoomScaleSheetLayoutView="100" workbookViewId="0">
      <pane xSplit="4" ySplit="5" topLeftCell="E18" activePane="bottomRight" state="frozen"/>
      <selection activeCell="M85" sqref="M85"/>
      <selection pane="topRight" activeCell="M85" sqref="M85"/>
      <selection pane="bottomLeft" activeCell="M85" sqref="M85"/>
      <selection pane="bottomRight" activeCell="M85" sqref="M85"/>
    </sheetView>
  </sheetViews>
  <sheetFormatPr defaultColWidth="9.140625" defaultRowHeight="15.75"/>
  <cols>
    <col min="1" max="1" width="7" style="1872" customWidth="1"/>
    <col min="2" max="2" width="8.85546875" style="1870" bestFit="1" customWidth="1"/>
    <col min="3" max="3" width="30.140625" style="1813" customWidth="1"/>
    <col min="4" max="4" width="8.7109375" style="1813" customWidth="1"/>
    <col min="5" max="5" width="12" style="1813" customWidth="1"/>
    <col min="6" max="6" width="12.28515625" style="1813" customWidth="1"/>
    <col min="7" max="7" width="12.28515625" style="1813" bestFit="1" customWidth="1"/>
    <col min="8" max="8" width="12.5703125" style="1813" customWidth="1"/>
    <col min="9" max="9" width="12.85546875" style="1813" customWidth="1"/>
    <col min="10" max="10" width="10" style="1813" customWidth="1"/>
    <col min="11" max="11" width="12.85546875" style="1813" customWidth="1"/>
    <col min="12" max="12" width="11.42578125" style="1813" customWidth="1"/>
    <col min="13" max="13" width="12.5703125" style="1813" customWidth="1"/>
    <col min="14" max="14" width="12.28515625" style="1813" bestFit="1" customWidth="1"/>
    <col min="15" max="15" width="11" style="1813" customWidth="1"/>
    <col min="16" max="16" width="12.5703125" style="1813" customWidth="1"/>
    <col min="17" max="16384" width="9.140625" style="1813"/>
  </cols>
  <sheetData>
    <row r="1" spans="1:16" ht="13.5" customHeight="1">
      <c r="A1" s="2360" t="s">
        <v>997</v>
      </c>
      <c r="B1" s="2360"/>
      <c r="C1" s="2360"/>
      <c r="D1" s="2360"/>
      <c r="E1" s="2360"/>
      <c r="F1" s="2360"/>
      <c r="G1" s="2360"/>
      <c r="H1" s="2360"/>
      <c r="I1" s="2360"/>
      <c r="J1" s="2360"/>
      <c r="K1" s="2360"/>
      <c r="L1" s="2360"/>
      <c r="M1" s="2360"/>
      <c r="N1" s="2360"/>
      <c r="O1" s="2360"/>
    </row>
    <row r="2" spans="1:16" ht="13.5" customHeight="1" thickBot="1">
      <c r="A2" s="1818"/>
      <c r="B2" s="1818"/>
      <c r="C2" s="1818"/>
      <c r="D2" s="1818"/>
      <c r="E2" s="1818"/>
      <c r="F2" s="1818"/>
      <c r="G2" s="1818"/>
      <c r="H2" s="1818"/>
      <c r="I2" s="1818"/>
      <c r="J2" s="1818"/>
      <c r="K2" s="1818"/>
      <c r="L2" s="1818"/>
      <c r="M2" s="1818"/>
      <c r="N2" s="2361" t="s">
        <v>998</v>
      </c>
      <c r="O2" s="2361"/>
    </row>
    <row r="3" spans="1:16" ht="14.25" customHeight="1">
      <c r="A3" s="2362" t="s">
        <v>0</v>
      </c>
      <c r="B3" s="2365" t="s">
        <v>44</v>
      </c>
      <c r="C3" s="2365" t="s">
        <v>45</v>
      </c>
      <c r="D3" s="2368" t="s">
        <v>8</v>
      </c>
      <c r="E3" s="2371" t="s">
        <v>999</v>
      </c>
      <c r="F3" s="2371" t="s">
        <v>23</v>
      </c>
      <c r="G3" s="2374" t="s">
        <v>20</v>
      </c>
      <c r="H3" s="2374" t="s">
        <v>1000</v>
      </c>
      <c r="I3" s="2377" t="s">
        <v>1001</v>
      </c>
      <c r="J3" s="2378"/>
      <c r="K3" s="2378"/>
      <c r="L3" s="2378"/>
      <c r="M3" s="2379"/>
      <c r="N3" s="2377" t="s">
        <v>1002</v>
      </c>
      <c r="O3" s="2382" t="s">
        <v>1003</v>
      </c>
    </row>
    <row r="4" spans="1:16" ht="12.75" customHeight="1">
      <c r="A4" s="2363"/>
      <c r="B4" s="2366"/>
      <c r="C4" s="2366"/>
      <c r="D4" s="2369"/>
      <c r="E4" s="2372"/>
      <c r="F4" s="2372"/>
      <c r="G4" s="2375"/>
      <c r="H4" s="2375"/>
      <c r="I4" s="2375" t="s">
        <v>1004</v>
      </c>
      <c r="J4" s="2366" t="s">
        <v>552</v>
      </c>
      <c r="K4" s="2366"/>
      <c r="L4" s="2375" t="s">
        <v>1005</v>
      </c>
      <c r="M4" s="2385" t="s">
        <v>1006</v>
      </c>
      <c r="N4" s="2380"/>
      <c r="O4" s="2383"/>
    </row>
    <row r="5" spans="1:16" ht="77.25" customHeight="1" thickBot="1">
      <c r="A5" s="2364"/>
      <c r="B5" s="2367"/>
      <c r="C5" s="2367"/>
      <c r="D5" s="2370"/>
      <c r="E5" s="2373"/>
      <c r="F5" s="2373"/>
      <c r="G5" s="2376"/>
      <c r="H5" s="2376"/>
      <c r="I5" s="2376"/>
      <c r="J5" s="1819" t="s">
        <v>1007</v>
      </c>
      <c r="K5" s="1819" t="s">
        <v>1008</v>
      </c>
      <c r="L5" s="2376"/>
      <c r="M5" s="2373"/>
      <c r="N5" s="2381"/>
      <c r="O5" s="2384"/>
    </row>
    <row r="6" spans="1:16" ht="11.25" customHeight="1" thickBot="1">
      <c r="A6" s="1820" t="s">
        <v>1</v>
      </c>
      <c r="B6" s="1821" t="s">
        <v>2</v>
      </c>
      <c r="C6" s="1821" t="s">
        <v>3</v>
      </c>
      <c r="D6" s="1821" t="s">
        <v>4</v>
      </c>
      <c r="E6" s="1821" t="s">
        <v>240</v>
      </c>
      <c r="F6" s="1821" t="s">
        <v>241</v>
      </c>
      <c r="G6" s="1821" t="s">
        <v>242</v>
      </c>
      <c r="H6" s="1821" t="s">
        <v>243</v>
      </c>
      <c r="I6" s="1821" t="s">
        <v>1009</v>
      </c>
      <c r="J6" s="1821" t="s">
        <v>1010</v>
      </c>
      <c r="K6" s="1821" t="s">
        <v>1011</v>
      </c>
      <c r="L6" s="1821" t="s">
        <v>1012</v>
      </c>
      <c r="M6" s="1821" t="s">
        <v>1013</v>
      </c>
      <c r="N6" s="1822" t="s">
        <v>1014</v>
      </c>
      <c r="O6" s="1822" t="s">
        <v>1015</v>
      </c>
    </row>
    <row r="7" spans="1:16" ht="30" customHeight="1">
      <c r="A7" s="2386" t="s">
        <v>5</v>
      </c>
      <c r="B7" s="2387" t="s">
        <v>244</v>
      </c>
      <c r="C7" s="2387"/>
      <c r="D7" s="1823"/>
      <c r="E7" s="1824">
        <f>SUM(E8,E24)</f>
        <v>7462000</v>
      </c>
      <c r="F7" s="1824">
        <f>SUM(F8,F24)</f>
        <v>4036410</v>
      </c>
      <c r="G7" s="1824">
        <f>SUM(G8,,G24)</f>
        <v>4031742.39</v>
      </c>
      <c r="H7" s="1824">
        <f>SUM(H8,H24)</f>
        <v>4031742.39</v>
      </c>
      <c r="I7" s="1824">
        <f>SUM(J7:K7)</f>
        <v>4031742.39</v>
      </c>
      <c r="J7" s="1824">
        <f>SUM(J8,J24)</f>
        <v>92079</v>
      </c>
      <c r="K7" s="1824">
        <f>SUM(K8,K24)</f>
        <v>3939663.39</v>
      </c>
      <c r="L7" s="1824">
        <v>0</v>
      </c>
      <c r="M7" s="1824">
        <f>SUM(M8,M24)</f>
        <v>0</v>
      </c>
      <c r="N7" s="1824">
        <f>SUM(N8,N24)</f>
        <v>0</v>
      </c>
      <c r="O7" s="1825">
        <f t="shared" ref="O7:O55" si="0">G7/F7</f>
        <v>0.99884362341783917</v>
      </c>
      <c r="P7" s="1826"/>
    </row>
    <row r="8" spans="1:16" ht="29.25" customHeight="1">
      <c r="A8" s="2353"/>
      <c r="B8" s="2388" t="s">
        <v>259</v>
      </c>
      <c r="C8" s="2390" t="s">
        <v>260</v>
      </c>
      <c r="D8" s="1827" t="s">
        <v>1016</v>
      </c>
      <c r="E8" s="1828">
        <f>SUM(E9:E23)</f>
        <v>7368000</v>
      </c>
      <c r="F8" s="1828">
        <f>SUM(F9:F23)</f>
        <v>0</v>
      </c>
      <c r="G8" s="1829">
        <f>SUM(H8,N8)</f>
        <v>0</v>
      </c>
      <c r="H8" s="1829">
        <f t="shared" ref="H8" si="1">SUM(I8,L8,M8)</f>
        <v>0</v>
      </c>
      <c r="I8" s="1829">
        <f>SUM(J8:K8)</f>
        <v>0</v>
      </c>
      <c r="J8" s="1829">
        <f>SUM(J9:J22)</f>
        <v>0</v>
      </c>
      <c r="K8" s="1829">
        <f>SUM(K9:K23)</f>
        <v>0</v>
      </c>
      <c r="L8" s="1829">
        <v>0</v>
      </c>
      <c r="M8" s="1829">
        <f>SUM(M9:M23)</f>
        <v>0</v>
      </c>
      <c r="N8" s="1830">
        <f>SUM(N9:N23)</f>
        <v>0</v>
      </c>
      <c r="O8" s="1831"/>
      <c r="P8" s="1826"/>
    </row>
    <row r="9" spans="1:16" ht="12.75">
      <c r="A9" s="2353"/>
      <c r="B9" s="2389"/>
      <c r="C9" s="2391"/>
      <c r="D9" s="1832" t="s">
        <v>603</v>
      </c>
      <c r="E9" s="1833">
        <v>20000</v>
      </c>
      <c r="F9" s="1833"/>
      <c r="G9" s="1793"/>
      <c r="H9" s="1793"/>
      <c r="I9" s="1793"/>
      <c r="J9" s="1793"/>
      <c r="K9" s="1793"/>
      <c r="L9" s="1793"/>
      <c r="M9" s="1793"/>
      <c r="N9" s="1834"/>
      <c r="O9" s="1835"/>
    </row>
    <row r="10" spans="1:16" ht="12.75">
      <c r="A10" s="2353"/>
      <c r="B10" s="2389"/>
      <c r="C10" s="2391"/>
      <c r="D10" s="1832" t="s">
        <v>145</v>
      </c>
      <c r="E10" s="1833">
        <v>1080106</v>
      </c>
      <c r="F10" s="1833"/>
      <c r="G10" s="1793"/>
      <c r="H10" s="1793"/>
      <c r="I10" s="1793"/>
      <c r="J10" s="1793"/>
      <c r="K10" s="1793"/>
      <c r="L10" s="1793"/>
      <c r="M10" s="1793"/>
      <c r="N10" s="1834"/>
      <c r="O10" s="1835"/>
    </row>
    <row r="11" spans="1:16" ht="12.75">
      <c r="A11" s="2353"/>
      <c r="B11" s="2389"/>
      <c r="C11" s="2391"/>
      <c r="D11" s="1832" t="s">
        <v>564</v>
      </c>
      <c r="E11" s="1833">
        <v>82280</v>
      </c>
      <c r="F11" s="1833"/>
      <c r="G11" s="1793"/>
      <c r="H11" s="1793"/>
      <c r="I11" s="1793"/>
      <c r="J11" s="1793"/>
      <c r="K11" s="1793"/>
      <c r="L11" s="1793"/>
      <c r="M11" s="1793"/>
      <c r="N11" s="1834"/>
      <c r="O11" s="1835"/>
    </row>
    <row r="12" spans="1:16" ht="12.75">
      <c r="A12" s="2353"/>
      <c r="B12" s="2389"/>
      <c r="C12" s="2391"/>
      <c r="D12" s="1832" t="s">
        <v>146</v>
      </c>
      <c r="E12" s="1833">
        <v>196149</v>
      </c>
      <c r="F12" s="1833"/>
      <c r="G12" s="1793"/>
      <c r="H12" s="1793"/>
      <c r="I12" s="1793"/>
      <c r="J12" s="1793"/>
      <c r="K12" s="1793"/>
      <c r="L12" s="1793"/>
      <c r="M12" s="1793"/>
      <c r="N12" s="1834"/>
      <c r="O12" s="1835"/>
    </row>
    <row r="13" spans="1:16" ht="12.75">
      <c r="A13" s="2353"/>
      <c r="B13" s="2389"/>
      <c r="C13" s="2391"/>
      <c r="D13" s="1832" t="s">
        <v>147</v>
      </c>
      <c r="E13" s="1833">
        <v>21806</v>
      </c>
      <c r="F13" s="1833"/>
      <c r="G13" s="1793"/>
      <c r="H13" s="1793"/>
      <c r="I13" s="1793"/>
      <c r="J13" s="1793"/>
      <c r="K13" s="1793"/>
      <c r="L13" s="1793"/>
      <c r="M13" s="1793"/>
      <c r="N13" s="1834"/>
      <c r="O13" s="1835"/>
    </row>
    <row r="14" spans="1:16" ht="12.75">
      <c r="A14" s="2353"/>
      <c r="B14" s="2389"/>
      <c r="C14" s="2391"/>
      <c r="D14" s="1832" t="s">
        <v>143</v>
      </c>
      <c r="E14" s="1833">
        <v>20000</v>
      </c>
      <c r="F14" s="1833"/>
      <c r="G14" s="1793"/>
      <c r="H14" s="1793"/>
      <c r="I14" s="1793"/>
      <c r="J14" s="1793"/>
      <c r="K14" s="1793"/>
      <c r="L14" s="1793"/>
      <c r="M14" s="1793"/>
      <c r="N14" s="1834"/>
      <c r="O14" s="1835"/>
    </row>
    <row r="15" spans="1:16" ht="12.75">
      <c r="A15" s="2353"/>
      <c r="B15" s="2389"/>
      <c r="C15" s="2391"/>
      <c r="D15" s="1832" t="s">
        <v>576</v>
      </c>
      <c r="E15" s="1833">
        <v>500000</v>
      </c>
      <c r="F15" s="1833"/>
      <c r="G15" s="1793"/>
      <c r="H15" s="1793"/>
      <c r="I15" s="1793"/>
      <c r="J15" s="1793"/>
      <c r="K15" s="1793"/>
      <c r="L15" s="1793"/>
      <c r="M15" s="1793"/>
      <c r="N15" s="1834"/>
      <c r="O15" s="1835"/>
    </row>
    <row r="16" spans="1:16" ht="12.75">
      <c r="A16" s="2353"/>
      <c r="B16" s="2389"/>
      <c r="C16" s="2391"/>
      <c r="D16" s="1832" t="s">
        <v>24</v>
      </c>
      <c r="E16" s="1833">
        <v>2374050</v>
      </c>
      <c r="F16" s="1833"/>
      <c r="G16" s="1793"/>
      <c r="H16" s="1793"/>
      <c r="I16" s="1793"/>
      <c r="J16" s="1793"/>
      <c r="K16" s="1793"/>
      <c r="L16" s="1793"/>
      <c r="M16" s="1793"/>
      <c r="N16" s="1834"/>
      <c r="O16" s="1835"/>
    </row>
    <row r="17" spans="1:16" ht="12.75">
      <c r="A17" s="2353"/>
      <c r="B17" s="2389"/>
      <c r="C17" s="2391"/>
      <c r="D17" s="1832" t="s">
        <v>579</v>
      </c>
      <c r="E17" s="1833">
        <v>2500</v>
      </c>
      <c r="F17" s="1833"/>
      <c r="G17" s="1793"/>
      <c r="H17" s="1793"/>
      <c r="I17" s="1793"/>
      <c r="J17" s="1793"/>
      <c r="K17" s="1793"/>
      <c r="L17" s="1793"/>
      <c r="M17" s="1793"/>
      <c r="N17" s="1834"/>
      <c r="O17" s="1835"/>
    </row>
    <row r="18" spans="1:16" ht="12.75">
      <c r="A18" s="2353"/>
      <c r="B18" s="2389"/>
      <c r="C18" s="2391"/>
      <c r="D18" s="1832" t="s">
        <v>25</v>
      </c>
      <c r="E18" s="1833">
        <v>5000</v>
      </c>
      <c r="F18" s="1833"/>
      <c r="G18" s="1793"/>
      <c r="H18" s="1793"/>
      <c r="I18" s="1793"/>
      <c r="J18" s="1793"/>
      <c r="K18" s="1793"/>
      <c r="L18" s="1793"/>
      <c r="M18" s="1793"/>
      <c r="N18" s="1834"/>
      <c r="O18" s="1835"/>
    </row>
    <row r="19" spans="1:16" ht="12.75">
      <c r="A19" s="2353"/>
      <c r="B19" s="2389"/>
      <c r="C19" s="2391"/>
      <c r="D19" s="1832" t="s">
        <v>582</v>
      </c>
      <c r="E19" s="1833">
        <v>2500</v>
      </c>
      <c r="F19" s="1833"/>
      <c r="G19" s="1793"/>
      <c r="H19" s="1793"/>
      <c r="I19" s="1793"/>
      <c r="J19" s="1793"/>
      <c r="K19" s="1793"/>
      <c r="L19" s="1793"/>
      <c r="M19" s="1793"/>
      <c r="N19" s="1834"/>
      <c r="O19" s="1835"/>
    </row>
    <row r="20" spans="1:16" ht="12.75">
      <c r="A20" s="2353"/>
      <c r="B20" s="2389"/>
      <c r="C20" s="2391"/>
      <c r="D20" s="1832" t="s">
        <v>591</v>
      </c>
      <c r="E20" s="1833">
        <v>40609</v>
      </c>
      <c r="F20" s="1833"/>
      <c r="G20" s="1793"/>
      <c r="H20" s="1793"/>
      <c r="I20" s="1793"/>
      <c r="J20" s="1793"/>
      <c r="K20" s="1793"/>
      <c r="L20" s="1793"/>
      <c r="M20" s="1793"/>
      <c r="N20" s="1834"/>
      <c r="O20" s="1835"/>
    </row>
    <row r="21" spans="1:16" ht="12.75">
      <c r="A21" s="2353"/>
      <c r="B21" s="2389"/>
      <c r="C21" s="2391"/>
      <c r="D21" s="1836" t="s">
        <v>593</v>
      </c>
      <c r="E21" s="1837">
        <v>2000</v>
      </c>
      <c r="F21" s="1837"/>
      <c r="G21" s="1793"/>
      <c r="H21" s="1793"/>
      <c r="I21" s="1793"/>
      <c r="J21" s="1838"/>
      <c r="K21" s="1838"/>
      <c r="L21" s="1838"/>
      <c r="M21" s="1838"/>
      <c r="N21" s="1839"/>
      <c r="O21" s="1835"/>
    </row>
    <row r="22" spans="1:16" ht="12.75">
      <c r="A22" s="2353"/>
      <c r="B22" s="2389"/>
      <c r="C22" s="2391"/>
      <c r="D22" s="1836" t="s">
        <v>610</v>
      </c>
      <c r="E22" s="1837">
        <v>3000</v>
      </c>
      <c r="F22" s="1837"/>
      <c r="G22" s="1793"/>
      <c r="H22" s="1793"/>
      <c r="I22" s="1793"/>
      <c r="J22" s="1838"/>
      <c r="K22" s="1838"/>
      <c r="L22" s="1838"/>
      <c r="M22" s="1838"/>
      <c r="N22" s="1839"/>
      <c r="O22" s="1835"/>
    </row>
    <row r="23" spans="1:16" ht="12.75">
      <c r="A23" s="2353"/>
      <c r="B23" s="2389"/>
      <c r="C23" s="2391"/>
      <c r="D23" s="1836" t="s">
        <v>26</v>
      </c>
      <c r="E23" s="1833">
        <v>3018000</v>
      </c>
      <c r="F23" s="1837"/>
      <c r="G23" s="1793"/>
      <c r="H23" s="1793"/>
      <c r="I23" s="1793"/>
      <c r="J23" s="1838"/>
      <c r="K23" s="1838"/>
      <c r="L23" s="1838"/>
      <c r="M23" s="1838"/>
      <c r="N23" s="1839"/>
      <c r="O23" s="1835"/>
    </row>
    <row r="24" spans="1:16" ht="26.25" customHeight="1">
      <c r="A24" s="2353"/>
      <c r="B24" s="2388" t="s">
        <v>279</v>
      </c>
      <c r="C24" s="2390" t="s">
        <v>11</v>
      </c>
      <c r="D24" s="1827" t="s">
        <v>1016</v>
      </c>
      <c r="E24" s="1840">
        <f>SUM(E25:E29)</f>
        <v>94000</v>
      </c>
      <c r="F24" s="1840">
        <f>SUM(F25:F29)</f>
        <v>4036410</v>
      </c>
      <c r="G24" s="1841">
        <f>SUM(H24,N24)</f>
        <v>4031742.39</v>
      </c>
      <c r="H24" s="1841">
        <f>SUM(I24,L24,M24)</f>
        <v>4031742.39</v>
      </c>
      <c r="I24" s="1841">
        <f>SUM(J24:K24)</f>
        <v>4031742.39</v>
      </c>
      <c r="J24" s="1841">
        <f>SUM(J25:J29)</f>
        <v>92079</v>
      </c>
      <c r="K24" s="1841">
        <f>SUM(K25:K29)</f>
        <v>3939663.39</v>
      </c>
      <c r="L24" s="1841">
        <v>0</v>
      </c>
      <c r="M24" s="1841">
        <v>0</v>
      </c>
      <c r="N24" s="1842">
        <v>0</v>
      </c>
      <c r="O24" s="1831">
        <f t="shared" si="0"/>
        <v>0.99884362341783917</v>
      </c>
    </row>
    <row r="25" spans="1:16" ht="12.75">
      <c r="A25" s="2353"/>
      <c r="B25" s="2389"/>
      <c r="C25" s="2391"/>
      <c r="D25" s="1843" t="s">
        <v>145</v>
      </c>
      <c r="E25" s="1837">
        <v>78445</v>
      </c>
      <c r="F25" s="1837">
        <v>76445</v>
      </c>
      <c r="G25" s="1838">
        <f>SUM(H25,N25)</f>
        <v>76445</v>
      </c>
      <c r="H25" s="1838">
        <f>SUM(I25,L25,M25)</f>
        <v>76445</v>
      </c>
      <c r="I25" s="1838">
        <f>SUM(J25:K25)</f>
        <v>76445</v>
      </c>
      <c r="J25" s="1838">
        <v>76445</v>
      </c>
      <c r="K25" s="1838"/>
      <c r="L25" s="1844"/>
      <c r="M25" s="1844"/>
      <c r="N25" s="1845"/>
      <c r="O25" s="1835">
        <f>G25/F25</f>
        <v>1</v>
      </c>
    </row>
    <row r="26" spans="1:16" ht="12.75">
      <c r="A26" s="2353"/>
      <c r="B26" s="2389"/>
      <c r="C26" s="2391"/>
      <c r="D26" s="1843" t="s">
        <v>146</v>
      </c>
      <c r="E26" s="1837">
        <v>13634</v>
      </c>
      <c r="F26" s="1837">
        <v>13634</v>
      </c>
      <c r="G26" s="1838">
        <f t="shared" ref="G26:G29" si="2">SUM(H26,N26)</f>
        <v>13634</v>
      </c>
      <c r="H26" s="1838">
        <f t="shared" ref="H26:H29" si="3">SUM(I26,L26,M26)</f>
        <v>13634</v>
      </c>
      <c r="I26" s="1838">
        <f t="shared" ref="I26:I29" si="4">SUM(J26:K26)</f>
        <v>13634</v>
      </c>
      <c r="J26" s="1838">
        <v>13634</v>
      </c>
      <c r="K26" s="1838"/>
      <c r="L26" s="1844"/>
      <c r="M26" s="1844"/>
      <c r="N26" s="1845"/>
      <c r="O26" s="1835">
        <f t="shared" si="0"/>
        <v>1</v>
      </c>
    </row>
    <row r="27" spans="1:16" ht="12.75">
      <c r="A27" s="2353"/>
      <c r="B27" s="2389"/>
      <c r="C27" s="2391"/>
      <c r="D27" s="1843" t="s">
        <v>147</v>
      </c>
      <c r="E27" s="1837"/>
      <c r="F27" s="1837">
        <v>2000</v>
      </c>
      <c r="G27" s="1838">
        <f t="shared" si="2"/>
        <v>2000</v>
      </c>
      <c r="H27" s="1838">
        <f t="shared" si="3"/>
        <v>2000</v>
      </c>
      <c r="I27" s="1838">
        <f t="shared" si="4"/>
        <v>2000</v>
      </c>
      <c r="J27" s="1838">
        <v>2000</v>
      </c>
      <c r="K27" s="1838"/>
      <c r="L27" s="1844"/>
      <c r="M27" s="1844"/>
      <c r="N27" s="1845"/>
      <c r="O27" s="1835">
        <f t="shared" si="0"/>
        <v>1</v>
      </c>
    </row>
    <row r="28" spans="1:16" ht="12.75">
      <c r="A28" s="2353"/>
      <c r="B28" s="2389"/>
      <c r="C28" s="2391"/>
      <c r="D28" s="1843" t="s">
        <v>571</v>
      </c>
      <c r="E28" s="1837">
        <v>1921</v>
      </c>
      <c r="F28" s="1837">
        <v>1921</v>
      </c>
      <c r="G28" s="1838">
        <f t="shared" si="2"/>
        <v>1921</v>
      </c>
      <c r="H28" s="1838">
        <f t="shared" si="3"/>
        <v>1921</v>
      </c>
      <c r="I28" s="1838">
        <f t="shared" si="4"/>
        <v>1921</v>
      </c>
      <c r="J28" s="1838"/>
      <c r="K28" s="1838">
        <v>1921</v>
      </c>
      <c r="L28" s="1844"/>
      <c r="M28" s="1844"/>
      <c r="N28" s="1845"/>
      <c r="O28" s="1835">
        <f t="shared" si="0"/>
        <v>1</v>
      </c>
    </row>
    <row r="29" spans="1:16" ht="12.75">
      <c r="A29" s="2344"/>
      <c r="B29" s="2392"/>
      <c r="C29" s="2393"/>
      <c r="D29" s="1836" t="s">
        <v>654</v>
      </c>
      <c r="E29" s="1837"/>
      <c r="F29" s="1837">
        <v>3942410</v>
      </c>
      <c r="G29" s="1838">
        <f t="shared" si="2"/>
        <v>3937742.39</v>
      </c>
      <c r="H29" s="1838">
        <f t="shared" si="3"/>
        <v>3937742.39</v>
      </c>
      <c r="I29" s="1838">
        <f t="shared" si="4"/>
        <v>3937742.39</v>
      </c>
      <c r="J29" s="1838"/>
      <c r="K29" s="1838">
        <v>3937742.39</v>
      </c>
      <c r="L29" s="1844"/>
      <c r="M29" s="1844"/>
      <c r="N29" s="1845"/>
      <c r="O29" s="1835">
        <f t="shared" si="0"/>
        <v>0.9988160516029535</v>
      </c>
    </row>
    <row r="30" spans="1:16" ht="30" customHeight="1">
      <c r="A30" s="2352" t="s">
        <v>13</v>
      </c>
      <c r="B30" s="2394" t="s">
        <v>300</v>
      </c>
      <c r="C30" s="2395"/>
      <c r="D30" s="1823"/>
      <c r="E30" s="1824">
        <f>SUM(E31,E33)</f>
        <v>57149000</v>
      </c>
      <c r="F30" s="1824">
        <f>SUM(F31,F33)</f>
        <v>56992000</v>
      </c>
      <c r="G30" s="1824">
        <f>SUM(G31,G33)</f>
        <v>51920822</v>
      </c>
      <c r="H30" s="1824">
        <f>SUM(H31,H33)</f>
        <v>51920822</v>
      </c>
      <c r="I30" s="1824">
        <f>SUM(I31,I33)</f>
        <v>189000</v>
      </c>
      <c r="J30" s="1824">
        <f>J31+J33</f>
        <v>67589</v>
      </c>
      <c r="K30" s="1824">
        <f>SUM(K31,K33)</f>
        <v>121411</v>
      </c>
      <c r="L30" s="1824">
        <f>SUM(L31,L33)</f>
        <v>51731822</v>
      </c>
      <c r="M30" s="1824">
        <v>0</v>
      </c>
      <c r="N30" s="1824">
        <v>0</v>
      </c>
      <c r="O30" s="1825">
        <f t="shared" si="0"/>
        <v>0.91101947641774284</v>
      </c>
    </row>
    <row r="31" spans="1:16" ht="29.25" customHeight="1">
      <c r="A31" s="2353"/>
      <c r="B31" s="2388" t="s">
        <v>696</v>
      </c>
      <c r="C31" s="2390" t="s">
        <v>311</v>
      </c>
      <c r="D31" s="1827" t="s">
        <v>1016</v>
      </c>
      <c r="E31" s="1828">
        <f>SUM(E32:E32)</f>
        <v>57000000</v>
      </c>
      <c r="F31" s="1828">
        <f>SUM(F32:F32)</f>
        <v>56803000</v>
      </c>
      <c r="G31" s="1829">
        <f>SUM(H31,N31)</f>
        <v>51731822</v>
      </c>
      <c r="H31" s="1829">
        <f>SUM(I31,L31,M31)</f>
        <v>51731822</v>
      </c>
      <c r="I31" s="1829">
        <v>0</v>
      </c>
      <c r="J31" s="1829">
        <v>0</v>
      </c>
      <c r="K31" s="1829">
        <v>0</v>
      </c>
      <c r="L31" s="1829">
        <f>SUM(L32)</f>
        <v>51731822</v>
      </c>
      <c r="M31" s="1829">
        <v>0</v>
      </c>
      <c r="N31" s="1830">
        <v>0</v>
      </c>
      <c r="O31" s="1846">
        <f t="shared" si="0"/>
        <v>0.9107234124958189</v>
      </c>
      <c r="P31" s="1826"/>
    </row>
    <row r="32" spans="1:16" ht="12.75">
      <c r="A32" s="2353"/>
      <c r="B32" s="2392"/>
      <c r="C32" s="2393"/>
      <c r="D32" s="1832" t="s">
        <v>697</v>
      </c>
      <c r="E32" s="1833">
        <v>57000000</v>
      </c>
      <c r="F32" s="1833">
        <v>56803000</v>
      </c>
      <c r="G32" s="1793">
        <f>SUM(H32,N32)</f>
        <v>51731822</v>
      </c>
      <c r="H32" s="1793">
        <f>SUM(I32,L32,M32)</f>
        <v>51731822</v>
      </c>
      <c r="I32" s="1847"/>
      <c r="J32" s="1847"/>
      <c r="K32" s="1847"/>
      <c r="L32" s="1793">
        <v>51731822</v>
      </c>
      <c r="M32" s="1847"/>
      <c r="N32" s="1848"/>
      <c r="O32" s="1849">
        <f t="shared" si="0"/>
        <v>0.9107234124958189</v>
      </c>
    </row>
    <row r="33" spans="1:16" ht="29.25" customHeight="1">
      <c r="A33" s="2353"/>
      <c r="B33" s="2388" t="s">
        <v>132</v>
      </c>
      <c r="C33" s="2390" t="s">
        <v>11</v>
      </c>
      <c r="D33" s="1827" t="s">
        <v>1016</v>
      </c>
      <c r="E33" s="1828">
        <f>SUM(E34:E38)</f>
        <v>149000</v>
      </c>
      <c r="F33" s="1828">
        <f>SUM(F34:F38)</f>
        <v>189000</v>
      </c>
      <c r="G33" s="1829">
        <f t="shared" ref="G33" si="5">SUM(H33,N33)</f>
        <v>189000</v>
      </c>
      <c r="H33" s="1829">
        <f t="shared" ref="H33" si="6">SUM(I33,L33,M33)</f>
        <v>189000</v>
      </c>
      <c r="I33" s="1829">
        <f>SUM(J33:K33)</f>
        <v>189000</v>
      </c>
      <c r="J33" s="1829">
        <f>SUM(J34:J38)</f>
        <v>67589</v>
      </c>
      <c r="K33" s="1829">
        <f>SUM(K34:K38)</f>
        <v>121411</v>
      </c>
      <c r="L33" s="1829">
        <v>0</v>
      </c>
      <c r="M33" s="1829">
        <v>0</v>
      </c>
      <c r="N33" s="1830">
        <v>0</v>
      </c>
      <c r="O33" s="1846">
        <f t="shared" si="0"/>
        <v>1</v>
      </c>
      <c r="P33" s="1826"/>
    </row>
    <row r="34" spans="1:16" ht="12.75">
      <c r="A34" s="2353"/>
      <c r="B34" s="2389"/>
      <c r="C34" s="2391"/>
      <c r="D34" s="1850" t="s">
        <v>145</v>
      </c>
      <c r="E34" s="1851">
        <v>57583</v>
      </c>
      <c r="F34" s="1851">
        <v>55983</v>
      </c>
      <c r="G34" s="1793">
        <f>SUM(H34,N34)</f>
        <v>55983</v>
      </c>
      <c r="H34" s="1793">
        <f>SUM(I34,L34,M34)</f>
        <v>55983</v>
      </c>
      <c r="I34" s="1793">
        <f>SUM(J34:K34)</f>
        <v>55983</v>
      </c>
      <c r="J34" s="1793">
        <v>55983</v>
      </c>
      <c r="K34" s="1793"/>
      <c r="L34" s="1793"/>
      <c r="M34" s="1793"/>
      <c r="N34" s="1834"/>
      <c r="O34" s="1849">
        <f t="shared" si="0"/>
        <v>1</v>
      </c>
      <c r="P34" s="1826"/>
    </row>
    <row r="35" spans="1:16" ht="12.75">
      <c r="A35" s="2353"/>
      <c r="B35" s="2389"/>
      <c r="C35" s="2391"/>
      <c r="D35" s="1850" t="s">
        <v>146</v>
      </c>
      <c r="E35" s="1851">
        <v>10006</v>
      </c>
      <c r="F35" s="1851">
        <v>10006</v>
      </c>
      <c r="G35" s="1793">
        <f t="shared" ref="G35:G38" si="7">SUM(H35,N35)</f>
        <v>10006</v>
      </c>
      <c r="H35" s="1793">
        <f t="shared" ref="H35:H38" si="8">SUM(I35,L35,M35)</f>
        <v>10006</v>
      </c>
      <c r="I35" s="1793">
        <f t="shared" ref="I35:I38" si="9">SUM(J35:K35)</f>
        <v>10006</v>
      </c>
      <c r="J35" s="1793">
        <v>10006</v>
      </c>
      <c r="K35" s="1793"/>
      <c r="L35" s="1793"/>
      <c r="M35" s="1793"/>
      <c r="N35" s="1834"/>
      <c r="O35" s="1849">
        <f t="shared" si="0"/>
        <v>1</v>
      </c>
      <c r="P35" s="1826"/>
    </row>
    <row r="36" spans="1:16" ht="12.75">
      <c r="A36" s="2353"/>
      <c r="B36" s="2389"/>
      <c r="C36" s="2391"/>
      <c r="D36" s="1850" t="s">
        <v>147</v>
      </c>
      <c r="E36" s="1851"/>
      <c r="F36" s="1851">
        <v>1600</v>
      </c>
      <c r="G36" s="1793">
        <f t="shared" si="7"/>
        <v>1600</v>
      </c>
      <c r="H36" s="1793">
        <f t="shared" si="8"/>
        <v>1600</v>
      </c>
      <c r="I36" s="1793">
        <f t="shared" si="9"/>
        <v>1600</v>
      </c>
      <c r="J36" s="1793">
        <v>1600</v>
      </c>
      <c r="K36" s="1793"/>
      <c r="L36" s="1793"/>
      <c r="M36" s="1793"/>
      <c r="N36" s="1834"/>
      <c r="O36" s="1849">
        <f t="shared" si="0"/>
        <v>1</v>
      </c>
      <c r="P36" s="1826"/>
    </row>
    <row r="37" spans="1:16" ht="12.75">
      <c r="A37" s="2353"/>
      <c r="B37" s="2389"/>
      <c r="C37" s="2391"/>
      <c r="D37" s="1850" t="s">
        <v>571</v>
      </c>
      <c r="E37" s="1851">
        <v>1411</v>
      </c>
      <c r="F37" s="1851">
        <v>1411</v>
      </c>
      <c r="G37" s="1793">
        <f t="shared" si="7"/>
        <v>1411</v>
      </c>
      <c r="H37" s="1793">
        <f t="shared" si="8"/>
        <v>1411</v>
      </c>
      <c r="I37" s="1793">
        <f t="shared" si="9"/>
        <v>1411</v>
      </c>
      <c r="J37" s="1793"/>
      <c r="K37" s="1793">
        <v>1411</v>
      </c>
      <c r="L37" s="1793"/>
      <c r="M37" s="1793"/>
      <c r="N37" s="1834"/>
      <c r="O37" s="1849">
        <f t="shared" si="0"/>
        <v>1</v>
      </c>
      <c r="P37" s="1826"/>
    </row>
    <row r="38" spans="1:16" ht="12.75">
      <c r="A38" s="2344"/>
      <c r="B38" s="2392"/>
      <c r="C38" s="2393"/>
      <c r="D38" s="1832" t="s">
        <v>25</v>
      </c>
      <c r="E38" s="1833">
        <v>80000</v>
      </c>
      <c r="F38" s="1833">
        <v>120000</v>
      </c>
      <c r="G38" s="1793">
        <f t="shared" si="7"/>
        <v>120000</v>
      </c>
      <c r="H38" s="1793">
        <f t="shared" si="8"/>
        <v>120000</v>
      </c>
      <c r="I38" s="1793">
        <f t="shared" si="9"/>
        <v>120000</v>
      </c>
      <c r="J38" s="1847"/>
      <c r="K38" s="1793">
        <v>120000</v>
      </c>
      <c r="L38" s="1847"/>
      <c r="M38" s="1847"/>
      <c r="N38" s="1848"/>
      <c r="O38" s="1849">
        <f t="shared" si="0"/>
        <v>1</v>
      </c>
    </row>
    <row r="39" spans="1:16" ht="30" customHeight="1">
      <c r="A39" s="2352" t="s">
        <v>72</v>
      </c>
      <c r="B39" s="2394" t="s">
        <v>73</v>
      </c>
      <c r="C39" s="2395"/>
      <c r="D39" s="1852"/>
      <c r="E39" s="1853">
        <f t="shared" ref="E39:K39" si="10">SUM(E40)</f>
        <v>34000</v>
      </c>
      <c r="F39" s="1853">
        <f t="shared" si="10"/>
        <v>34000</v>
      </c>
      <c r="G39" s="1853">
        <f t="shared" si="10"/>
        <v>34000</v>
      </c>
      <c r="H39" s="1853">
        <f t="shared" si="10"/>
        <v>34000</v>
      </c>
      <c r="I39" s="1853">
        <f t="shared" si="10"/>
        <v>34000</v>
      </c>
      <c r="J39" s="1853">
        <f t="shared" si="10"/>
        <v>33305</v>
      </c>
      <c r="K39" s="1853">
        <f t="shared" si="10"/>
        <v>695</v>
      </c>
      <c r="L39" s="1853">
        <v>0</v>
      </c>
      <c r="M39" s="1853">
        <v>0</v>
      </c>
      <c r="N39" s="1853">
        <v>0</v>
      </c>
      <c r="O39" s="1854">
        <f t="shared" si="0"/>
        <v>1</v>
      </c>
    </row>
    <row r="40" spans="1:16" ht="29.25" customHeight="1">
      <c r="A40" s="2353"/>
      <c r="B40" s="2388" t="s">
        <v>76</v>
      </c>
      <c r="C40" s="2390" t="s">
        <v>11</v>
      </c>
      <c r="D40" s="1827" t="s">
        <v>1016</v>
      </c>
      <c r="E40" s="1828">
        <f>SUM(E41:E44)</f>
        <v>34000</v>
      </c>
      <c r="F40" s="1828">
        <f>SUM(F41:F44)</f>
        <v>34000</v>
      </c>
      <c r="G40" s="1829">
        <f t="shared" ref="G40:G44" si="11">SUM(H40,N40)</f>
        <v>34000</v>
      </c>
      <c r="H40" s="1829">
        <f t="shared" ref="H40:H44" si="12">SUM(I40,L40,M40)</f>
        <v>34000</v>
      </c>
      <c r="I40" s="1829">
        <f>SUM(J40:K40)</f>
        <v>34000</v>
      </c>
      <c r="J40" s="1829">
        <f>SUM(J41:J44)</f>
        <v>33305</v>
      </c>
      <c r="K40" s="1829">
        <f>SUM(K41:K44)</f>
        <v>695</v>
      </c>
      <c r="L40" s="1829">
        <v>0</v>
      </c>
      <c r="M40" s="1829">
        <v>0</v>
      </c>
      <c r="N40" s="1830">
        <v>0</v>
      </c>
      <c r="O40" s="1846">
        <f t="shared" si="0"/>
        <v>1</v>
      </c>
      <c r="P40" s="1826"/>
    </row>
    <row r="41" spans="1:16" ht="12.75">
      <c r="A41" s="2353"/>
      <c r="B41" s="2389"/>
      <c r="C41" s="2391"/>
      <c r="D41" s="1850" t="s">
        <v>145</v>
      </c>
      <c r="E41" s="1851">
        <v>28374</v>
      </c>
      <c r="F41" s="1851">
        <v>24574</v>
      </c>
      <c r="G41" s="1793">
        <f t="shared" si="11"/>
        <v>24574</v>
      </c>
      <c r="H41" s="1793">
        <f t="shared" si="12"/>
        <v>24574</v>
      </c>
      <c r="I41" s="1793">
        <f>SUM(J41:K41)</f>
        <v>24574</v>
      </c>
      <c r="J41" s="1793">
        <v>24574</v>
      </c>
      <c r="K41" s="1793"/>
      <c r="L41" s="1793"/>
      <c r="M41" s="1793"/>
      <c r="N41" s="1834"/>
      <c r="O41" s="1849">
        <f>G41/F41</f>
        <v>1</v>
      </c>
      <c r="P41" s="1826"/>
    </row>
    <row r="42" spans="1:16" ht="12.75">
      <c r="A42" s="2353"/>
      <c r="B42" s="2389"/>
      <c r="C42" s="2391"/>
      <c r="D42" s="1850" t="s">
        <v>146</v>
      </c>
      <c r="E42" s="1851">
        <v>4931</v>
      </c>
      <c r="F42" s="1851">
        <v>4931</v>
      </c>
      <c r="G42" s="1793">
        <f t="shared" si="11"/>
        <v>4931</v>
      </c>
      <c r="H42" s="1793">
        <f t="shared" si="12"/>
        <v>4931</v>
      </c>
      <c r="I42" s="1793">
        <f t="shared" ref="I42:I44" si="13">SUM(J42:K42)</f>
        <v>4931</v>
      </c>
      <c r="J42" s="1793">
        <v>4931</v>
      </c>
      <c r="K42" s="1793"/>
      <c r="L42" s="1793"/>
      <c r="M42" s="1793"/>
      <c r="N42" s="1834"/>
      <c r="O42" s="1849">
        <f t="shared" ref="O42:O44" si="14">G42/F42</f>
        <v>1</v>
      </c>
      <c r="P42" s="1826"/>
    </row>
    <row r="43" spans="1:16" ht="12.75">
      <c r="A43" s="2353"/>
      <c r="B43" s="2389"/>
      <c r="C43" s="2391"/>
      <c r="D43" s="1850" t="s">
        <v>147</v>
      </c>
      <c r="E43" s="1851"/>
      <c r="F43" s="1851">
        <v>3800</v>
      </c>
      <c r="G43" s="1793">
        <f t="shared" si="11"/>
        <v>3800</v>
      </c>
      <c r="H43" s="1793">
        <f t="shared" si="12"/>
        <v>3800</v>
      </c>
      <c r="I43" s="1793">
        <f t="shared" si="13"/>
        <v>3800</v>
      </c>
      <c r="J43" s="1793">
        <v>3800</v>
      </c>
      <c r="K43" s="1793"/>
      <c r="L43" s="1793"/>
      <c r="M43" s="1793"/>
      <c r="N43" s="1834"/>
      <c r="O43" s="1849">
        <f t="shared" si="14"/>
        <v>1</v>
      </c>
      <c r="P43" s="1826"/>
    </row>
    <row r="44" spans="1:16" ht="12.75">
      <c r="A44" s="2344"/>
      <c r="B44" s="2392"/>
      <c r="C44" s="2393"/>
      <c r="D44" s="1850" t="s">
        <v>571</v>
      </c>
      <c r="E44" s="1851">
        <v>695</v>
      </c>
      <c r="F44" s="1851">
        <v>695</v>
      </c>
      <c r="G44" s="1793">
        <f t="shared" si="11"/>
        <v>695</v>
      </c>
      <c r="H44" s="1793">
        <f t="shared" si="12"/>
        <v>695</v>
      </c>
      <c r="I44" s="1793">
        <f t="shared" si="13"/>
        <v>695</v>
      </c>
      <c r="J44" s="1793"/>
      <c r="K44" s="1793">
        <v>695</v>
      </c>
      <c r="L44" s="1793"/>
      <c r="M44" s="1793"/>
      <c r="N44" s="1834"/>
      <c r="O44" s="1849">
        <f t="shared" si="14"/>
        <v>1</v>
      </c>
      <c r="P44" s="1826"/>
    </row>
    <row r="45" spans="1:16" ht="30" customHeight="1">
      <c r="A45" s="2352" t="s">
        <v>720</v>
      </c>
      <c r="B45" s="2396" t="s">
        <v>350</v>
      </c>
      <c r="C45" s="2396"/>
      <c r="D45" s="1823"/>
      <c r="E45" s="1824">
        <f>E46+E53</f>
        <v>575000</v>
      </c>
      <c r="F45" s="1824">
        <f t="shared" ref="F45:N45" si="15">F46+F53</f>
        <v>475000</v>
      </c>
      <c r="G45" s="1824">
        <f t="shared" si="15"/>
        <v>474991</v>
      </c>
      <c r="H45" s="1824">
        <f>H46+H53</f>
        <v>474991</v>
      </c>
      <c r="I45" s="1824">
        <f t="shared" si="15"/>
        <v>474991</v>
      </c>
      <c r="J45" s="1824">
        <f t="shared" si="15"/>
        <v>474178</v>
      </c>
      <c r="K45" s="1824">
        <f t="shared" si="15"/>
        <v>813</v>
      </c>
      <c r="L45" s="1824">
        <v>0</v>
      </c>
      <c r="M45" s="1824">
        <v>0</v>
      </c>
      <c r="N45" s="1824">
        <f t="shared" si="15"/>
        <v>0</v>
      </c>
      <c r="O45" s="1825">
        <f t="shared" si="0"/>
        <v>0.99998105263157899</v>
      </c>
    </row>
    <row r="46" spans="1:16" ht="29.25" customHeight="1">
      <c r="A46" s="2353"/>
      <c r="B46" s="2388" t="s">
        <v>726</v>
      </c>
      <c r="C46" s="2390" t="s">
        <v>994</v>
      </c>
      <c r="D46" s="1827" t="s">
        <v>1016</v>
      </c>
      <c r="E46" s="1828">
        <f>SUM(E47:E52)</f>
        <v>475000</v>
      </c>
      <c r="F46" s="1828">
        <f>SUM(F47:F51)</f>
        <v>475000</v>
      </c>
      <c r="G46" s="1829">
        <f t="shared" ref="G46:G50" si="16">SUM(H46,N46)</f>
        <v>474991</v>
      </c>
      <c r="H46" s="1829">
        <f t="shared" ref="H46" si="17">SUM(I46,L46,M46)</f>
        <v>474991</v>
      </c>
      <c r="I46" s="1829">
        <f t="shared" ref="I46" si="18">SUM(J46:K46)</f>
        <v>474991</v>
      </c>
      <c r="J46" s="1829">
        <f>SUM(J47:J51)</f>
        <v>474178</v>
      </c>
      <c r="K46" s="1829">
        <f>SUM(K47:K51)</f>
        <v>813</v>
      </c>
      <c r="L46" s="1829">
        <v>0</v>
      </c>
      <c r="M46" s="1829">
        <v>0</v>
      </c>
      <c r="N46" s="1830">
        <v>0</v>
      </c>
      <c r="O46" s="1831">
        <f t="shared" si="0"/>
        <v>0.99998105263157899</v>
      </c>
      <c r="P46" s="1826"/>
    </row>
    <row r="47" spans="1:16" ht="12.75">
      <c r="A47" s="2353"/>
      <c r="B47" s="2389"/>
      <c r="C47" s="2391"/>
      <c r="D47" s="1850" t="s">
        <v>145</v>
      </c>
      <c r="E47" s="1851">
        <v>364792</v>
      </c>
      <c r="F47" s="1851">
        <v>395717</v>
      </c>
      <c r="G47" s="1793">
        <f t="shared" si="16"/>
        <v>395717</v>
      </c>
      <c r="H47" s="1793">
        <f>SUM(I47,L47,M47)</f>
        <v>395717</v>
      </c>
      <c r="I47" s="1793">
        <f>SUM(J47:K47)</f>
        <v>395717</v>
      </c>
      <c r="J47" s="1793">
        <v>395717</v>
      </c>
      <c r="K47" s="1793"/>
      <c r="L47" s="1829"/>
      <c r="M47" s="1829"/>
      <c r="N47" s="1830"/>
      <c r="O47" s="1835">
        <f t="shared" si="0"/>
        <v>1</v>
      </c>
      <c r="P47" s="1826"/>
    </row>
    <row r="48" spans="1:16" ht="12.75">
      <c r="A48" s="2353"/>
      <c r="B48" s="2389"/>
      <c r="C48" s="2391"/>
      <c r="D48" s="1850" t="s">
        <v>146</v>
      </c>
      <c r="E48" s="1851">
        <v>65185</v>
      </c>
      <c r="F48" s="1851">
        <v>70501</v>
      </c>
      <c r="G48" s="1793">
        <f t="shared" si="16"/>
        <v>70500</v>
      </c>
      <c r="H48" s="1793">
        <f t="shared" ref="H48:H50" si="19">SUM(I48,L48,M48)</f>
        <v>70500</v>
      </c>
      <c r="I48" s="1793">
        <f t="shared" ref="I48:I50" si="20">SUM(J48:K48)</f>
        <v>70500</v>
      </c>
      <c r="J48" s="1793">
        <v>70500</v>
      </c>
      <c r="K48" s="1793"/>
      <c r="L48" s="1829"/>
      <c r="M48" s="1829"/>
      <c r="N48" s="1830"/>
      <c r="O48" s="1835">
        <f t="shared" si="0"/>
        <v>0.99998581580403112</v>
      </c>
      <c r="P48" s="1826"/>
    </row>
    <row r="49" spans="1:16" ht="12.75">
      <c r="A49" s="2353"/>
      <c r="B49" s="2389"/>
      <c r="C49" s="2391"/>
      <c r="D49" s="1850" t="s">
        <v>147</v>
      </c>
      <c r="E49" s="1851">
        <v>8023</v>
      </c>
      <c r="F49" s="1851">
        <v>7962</v>
      </c>
      <c r="G49" s="1793">
        <f t="shared" si="16"/>
        <v>7961</v>
      </c>
      <c r="H49" s="1793">
        <f t="shared" si="19"/>
        <v>7961</v>
      </c>
      <c r="I49" s="1793">
        <f t="shared" si="20"/>
        <v>7961</v>
      </c>
      <c r="J49" s="1793">
        <v>7961</v>
      </c>
      <c r="K49" s="1793"/>
      <c r="L49" s="1829"/>
      <c r="M49" s="1829"/>
      <c r="N49" s="1830"/>
      <c r="O49" s="1835">
        <f t="shared" si="0"/>
        <v>0.99987440341622713</v>
      </c>
      <c r="P49" s="1826"/>
    </row>
    <row r="50" spans="1:16" ht="12.75">
      <c r="A50" s="2353"/>
      <c r="B50" s="2389"/>
      <c r="C50" s="2391"/>
      <c r="D50" s="1850" t="s">
        <v>143</v>
      </c>
      <c r="E50" s="1851">
        <v>25000</v>
      </c>
      <c r="F50" s="1851">
        <v>820</v>
      </c>
      <c r="G50" s="1793">
        <f t="shared" si="16"/>
        <v>813</v>
      </c>
      <c r="H50" s="1793">
        <f t="shared" si="19"/>
        <v>813</v>
      </c>
      <c r="I50" s="1793">
        <f t="shared" si="20"/>
        <v>813</v>
      </c>
      <c r="J50" s="1793"/>
      <c r="K50" s="1793">
        <v>813</v>
      </c>
      <c r="L50" s="1829"/>
      <c r="M50" s="1829"/>
      <c r="N50" s="1830"/>
      <c r="O50" s="1835">
        <f t="shared" si="0"/>
        <v>0.99146341463414633</v>
      </c>
      <c r="P50" s="1826"/>
    </row>
    <row r="51" spans="1:16" ht="12.75">
      <c r="A51" s="2353"/>
      <c r="B51" s="2389"/>
      <c r="C51" s="2391"/>
      <c r="D51" s="1850" t="s">
        <v>25</v>
      </c>
      <c r="E51" s="1851">
        <v>10000</v>
      </c>
      <c r="F51" s="1851"/>
      <c r="G51" s="1793"/>
      <c r="H51" s="1793"/>
      <c r="I51" s="1793"/>
      <c r="J51" s="1829"/>
      <c r="K51" s="1793"/>
      <c r="L51" s="1829"/>
      <c r="M51" s="1829"/>
      <c r="N51" s="1830"/>
      <c r="O51" s="1835"/>
      <c r="P51" s="1826"/>
    </row>
    <row r="52" spans="1:16" ht="12.75">
      <c r="A52" s="2353"/>
      <c r="B52" s="2392"/>
      <c r="C52" s="2393"/>
      <c r="D52" s="1843" t="s">
        <v>587</v>
      </c>
      <c r="E52" s="1855">
        <v>2000</v>
      </c>
      <c r="F52" s="1855"/>
      <c r="G52" s="1793"/>
      <c r="H52" s="1793"/>
      <c r="I52" s="1793"/>
      <c r="J52" s="1841"/>
      <c r="K52" s="1838"/>
      <c r="L52" s="1841"/>
      <c r="M52" s="1841"/>
      <c r="N52" s="1842"/>
      <c r="O52" s="1835"/>
      <c r="P52" s="1826"/>
    </row>
    <row r="53" spans="1:16" ht="28.5" customHeight="1">
      <c r="A53" s="2353"/>
      <c r="B53" s="2388" t="s">
        <v>728</v>
      </c>
      <c r="C53" s="2390" t="s">
        <v>11</v>
      </c>
      <c r="D53" s="1856" t="s">
        <v>1016</v>
      </c>
      <c r="E53" s="1840">
        <f>SUM(E54:E54)</f>
        <v>100000</v>
      </c>
      <c r="F53" s="1840">
        <f>SUM(F54:F54)</f>
        <v>0</v>
      </c>
      <c r="G53" s="1841">
        <f t="shared" ref="G53" si="21">SUM(H53,N53)</f>
        <v>0</v>
      </c>
      <c r="H53" s="1841">
        <f t="shared" ref="H53" si="22">SUM(I53,L53,M53)</f>
        <v>0</v>
      </c>
      <c r="I53" s="1841">
        <f t="shared" ref="I53" si="23">SUM(J53:K53)</f>
        <v>0</v>
      </c>
      <c r="J53" s="1841">
        <v>0</v>
      </c>
      <c r="K53" s="1841">
        <f>SUM(K54:K54)</f>
        <v>0</v>
      </c>
      <c r="L53" s="1841">
        <v>0</v>
      </c>
      <c r="M53" s="1841">
        <v>0</v>
      </c>
      <c r="N53" s="1842">
        <v>0</v>
      </c>
      <c r="O53" s="1831"/>
    </row>
    <row r="54" spans="1:16" ht="12.75">
      <c r="A54" s="2353"/>
      <c r="B54" s="2389"/>
      <c r="C54" s="2391"/>
      <c r="D54" s="1836" t="s">
        <v>24</v>
      </c>
      <c r="E54" s="1837">
        <v>100000</v>
      </c>
      <c r="F54" s="1837"/>
      <c r="G54" s="1838"/>
      <c r="H54" s="1838"/>
      <c r="I54" s="1838"/>
      <c r="J54" s="1838"/>
      <c r="K54" s="1838"/>
      <c r="L54" s="1844"/>
      <c r="M54" s="1844"/>
      <c r="N54" s="1839"/>
      <c r="O54" s="1835"/>
    </row>
    <row r="55" spans="1:16" ht="30" customHeight="1">
      <c r="A55" s="2352" t="s">
        <v>7</v>
      </c>
      <c r="B55" s="2396" t="s">
        <v>59</v>
      </c>
      <c r="C55" s="2396"/>
      <c r="D55" s="1852"/>
      <c r="E55" s="1853">
        <f>SUM(E56,E60,E66)</f>
        <v>365000</v>
      </c>
      <c r="F55" s="1853">
        <f t="shared" ref="F55:N55" si="24">SUM(F56,F60,F66)</f>
        <v>361000</v>
      </c>
      <c r="G55" s="1853">
        <f t="shared" si="24"/>
        <v>351020</v>
      </c>
      <c r="H55" s="1853">
        <f t="shared" si="24"/>
        <v>351020</v>
      </c>
      <c r="I55" s="1853">
        <f t="shared" si="24"/>
        <v>349992</v>
      </c>
      <c r="J55" s="1853">
        <f t="shared" si="24"/>
        <v>262787</v>
      </c>
      <c r="K55" s="1853">
        <f>SUM(K56,K60,K66)</f>
        <v>87205</v>
      </c>
      <c r="L55" s="1853">
        <v>0</v>
      </c>
      <c r="M55" s="1853">
        <f>SUM(M56,M60,M66)</f>
        <v>1028</v>
      </c>
      <c r="N55" s="1853">
        <f t="shared" si="24"/>
        <v>0</v>
      </c>
      <c r="O55" s="1854">
        <f t="shared" si="0"/>
        <v>0.97235457063711916</v>
      </c>
    </row>
    <row r="56" spans="1:16" ht="29.25" customHeight="1">
      <c r="A56" s="2353"/>
      <c r="B56" s="2388" t="s">
        <v>748</v>
      </c>
      <c r="C56" s="2390" t="s">
        <v>374</v>
      </c>
      <c r="D56" s="1827" t="s">
        <v>1016</v>
      </c>
      <c r="E56" s="1828">
        <f>SUM(E57:E59)</f>
        <v>145000</v>
      </c>
      <c r="F56" s="1828">
        <f>SUM(F57:F59)</f>
        <v>145000</v>
      </c>
      <c r="G56" s="1829">
        <f t="shared" ref="G56:G60" si="25">SUM(H56,N56)</f>
        <v>145000</v>
      </c>
      <c r="H56" s="1829">
        <f t="shared" ref="H56:H66" si="26">SUM(I56,L56,M56)</f>
        <v>145000</v>
      </c>
      <c r="I56" s="1829">
        <f t="shared" ref="I56:I60" si="27">SUM(J56:K56)</f>
        <v>145000</v>
      </c>
      <c r="J56" s="1829">
        <f>SUM(J57:J59)</f>
        <v>142035</v>
      </c>
      <c r="K56" s="1829">
        <f>SUM(K58:K59)</f>
        <v>2965</v>
      </c>
      <c r="L56" s="1829">
        <v>0</v>
      </c>
      <c r="M56" s="1829">
        <v>0</v>
      </c>
      <c r="N56" s="1830">
        <v>0</v>
      </c>
      <c r="O56" s="1831">
        <f t="shared" ref="O56:O75" si="28">SUM(G56/F56)</f>
        <v>1</v>
      </c>
      <c r="P56" s="1826"/>
    </row>
    <row r="57" spans="1:16" ht="12.75">
      <c r="A57" s="2353"/>
      <c r="B57" s="2389"/>
      <c r="C57" s="2391"/>
      <c r="D57" s="1832" t="s">
        <v>145</v>
      </c>
      <c r="E57" s="1833">
        <v>121004</v>
      </c>
      <c r="F57" s="1833">
        <v>121004</v>
      </c>
      <c r="G57" s="1793">
        <f>H57+N57</f>
        <v>121004</v>
      </c>
      <c r="H57" s="1793">
        <f>SUM(I57,L57,M57)</f>
        <v>121004</v>
      </c>
      <c r="I57" s="1793">
        <f>SUM(J57:K57)</f>
        <v>121004</v>
      </c>
      <c r="J57" s="1793">
        <v>121004</v>
      </c>
      <c r="K57" s="1847"/>
      <c r="L57" s="1847"/>
      <c r="M57" s="1847"/>
      <c r="N57" s="1848"/>
      <c r="O57" s="1835">
        <f t="shared" si="28"/>
        <v>1</v>
      </c>
    </row>
    <row r="58" spans="1:16" ht="12.75">
      <c r="A58" s="2353"/>
      <c r="B58" s="2389"/>
      <c r="C58" s="2391"/>
      <c r="D58" s="1832" t="s">
        <v>146</v>
      </c>
      <c r="E58" s="1833">
        <v>21031</v>
      </c>
      <c r="F58" s="1833">
        <v>21031</v>
      </c>
      <c r="G58" s="1793">
        <f t="shared" ref="G58:G59" si="29">H58+N58</f>
        <v>21031</v>
      </c>
      <c r="H58" s="1793">
        <f t="shared" ref="H58:H59" si="30">SUM(I58,L58,M58)</f>
        <v>21031</v>
      </c>
      <c r="I58" s="1793">
        <f t="shared" ref="I58:I59" si="31">SUM(J58:K58)</f>
        <v>21031</v>
      </c>
      <c r="J58" s="1793">
        <v>21031</v>
      </c>
      <c r="K58" s="1847"/>
      <c r="L58" s="1847"/>
      <c r="M58" s="1847"/>
      <c r="N58" s="1848"/>
      <c r="O58" s="1835">
        <f t="shared" si="28"/>
        <v>1</v>
      </c>
    </row>
    <row r="59" spans="1:16" ht="12.75">
      <c r="A59" s="2353"/>
      <c r="B59" s="2392"/>
      <c r="C59" s="2393"/>
      <c r="D59" s="1832" t="s">
        <v>571</v>
      </c>
      <c r="E59" s="1833">
        <v>2965</v>
      </c>
      <c r="F59" s="1833">
        <v>2965</v>
      </c>
      <c r="G59" s="1793">
        <f t="shared" si="29"/>
        <v>2965</v>
      </c>
      <c r="H59" s="1793">
        <f t="shared" si="30"/>
        <v>2965</v>
      </c>
      <c r="I59" s="1793">
        <f t="shared" si="31"/>
        <v>2965</v>
      </c>
      <c r="J59" s="1793"/>
      <c r="K59" s="1793">
        <v>2965</v>
      </c>
      <c r="L59" s="1847"/>
      <c r="M59" s="1847"/>
      <c r="N59" s="1848"/>
      <c r="O59" s="1835">
        <f t="shared" si="28"/>
        <v>1</v>
      </c>
    </row>
    <row r="60" spans="1:16" ht="29.25" customHeight="1">
      <c r="A60" s="2353"/>
      <c r="B60" s="2388" t="s">
        <v>772</v>
      </c>
      <c r="C60" s="2390" t="s">
        <v>381</v>
      </c>
      <c r="D60" s="1827" t="s">
        <v>1016</v>
      </c>
      <c r="E60" s="1828">
        <f>SUM(E61:E65)</f>
        <v>20000</v>
      </c>
      <c r="F60" s="1828">
        <f>SUM(F61:F65)</f>
        <v>16000</v>
      </c>
      <c r="G60" s="1829">
        <f t="shared" si="25"/>
        <v>8881</v>
      </c>
      <c r="H60" s="1829">
        <f t="shared" si="26"/>
        <v>8881</v>
      </c>
      <c r="I60" s="1829">
        <f t="shared" si="27"/>
        <v>8881</v>
      </c>
      <c r="J60" s="1829">
        <f>SUM(J61:J65)</f>
        <v>3237</v>
      </c>
      <c r="K60" s="1829">
        <f>SUM(K61:K65)</f>
        <v>5644</v>
      </c>
      <c r="L60" s="1829">
        <v>0</v>
      </c>
      <c r="M60" s="1829">
        <v>0</v>
      </c>
      <c r="N60" s="1830">
        <v>0</v>
      </c>
      <c r="O60" s="1831">
        <f t="shared" si="28"/>
        <v>0.55506250000000001</v>
      </c>
      <c r="P60" s="1826"/>
    </row>
    <row r="61" spans="1:16" ht="12.75">
      <c r="A61" s="2353"/>
      <c r="B61" s="2389"/>
      <c r="C61" s="2391"/>
      <c r="D61" s="1832" t="s">
        <v>146</v>
      </c>
      <c r="E61" s="1833">
        <v>700</v>
      </c>
      <c r="F61" s="1833">
        <v>700</v>
      </c>
      <c r="G61" s="1793">
        <f>SUM(H61,N61)</f>
        <v>177</v>
      </c>
      <c r="H61" s="1793">
        <f t="shared" si="26"/>
        <v>177</v>
      </c>
      <c r="I61" s="1793">
        <f>SUM(J61:K61)</f>
        <v>177</v>
      </c>
      <c r="J61" s="1793">
        <v>177</v>
      </c>
      <c r="K61" s="1847"/>
      <c r="L61" s="1847"/>
      <c r="M61" s="1847"/>
      <c r="N61" s="1848"/>
      <c r="O61" s="1835">
        <f t="shared" si="28"/>
        <v>0.25285714285714284</v>
      </c>
    </row>
    <row r="62" spans="1:16" ht="12.75">
      <c r="A62" s="2353"/>
      <c r="B62" s="2389"/>
      <c r="C62" s="2391"/>
      <c r="D62" s="1832" t="s">
        <v>147</v>
      </c>
      <c r="E62" s="1833">
        <v>140</v>
      </c>
      <c r="F62" s="1833">
        <v>140</v>
      </c>
      <c r="G62" s="1793"/>
      <c r="H62" s="1793"/>
      <c r="I62" s="1793"/>
      <c r="J62" s="1793"/>
      <c r="K62" s="1847"/>
      <c r="L62" s="1847"/>
      <c r="M62" s="1847"/>
      <c r="N62" s="1848"/>
      <c r="O62" s="1835">
        <f t="shared" si="28"/>
        <v>0</v>
      </c>
    </row>
    <row r="63" spans="1:16" ht="12.75">
      <c r="A63" s="2353"/>
      <c r="B63" s="2389"/>
      <c r="C63" s="2391"/>
      <c r="D63" s="1832" t="s">
        <v>568</v>
      </c>
      <c r="E63" s="1833">
        <v>9160</v>
      </c>
      <c r="F63" s="1833">
        <v>7160</v>
      </c>
      <c r="G63" s="1793">
        <f t="shared" ref="G63:G65" si="32">SUM(H63,N63)</f>
        <v>3060</v>
      </c>
      <c r="H63" s="1793">
        <f t="shared" si="26"/>
        <v>3060</v>
      </c>
      <c r="I63" s="1793">
        <f t="shared" ref="I63:I65" si="33">SUM(J63:K63)</f>
        <v>3060</v>
      </c>
      <c r="J63" s="1793">
        <v>3060</v>
      </c>
      <c r="K63" s="1847"/>
      <c r="L63" s="1847"/>
      <c r="M63" s="1847"/>
      <c r="N63" s="1848"/>
      <c r="O63" s="1835">
        <f t="shared" si="28"/>
        <v>0.42737430167597767</v>
      </c>
    </row>
    <row r="64" spans="1:16" ht="12.75">
      <c r="A64" s="2353"/>
      <c r="B64" s="2389"/>
      <c r="C64" s="2391"/>
      <c r="D64" s="1832" t="s">
        <v>143</v>
      </c>
      <c r="E64" s="1833">
        <v>1500</v>
      </c>
      <c r="F64" s="1833">
        <v>3500</v>
      </c>
      <c r="G64" s="1793">
        <f t="shared" si="32"/>
        <v>3144</v>
      </c>
      <c r="H64" s="1793">
        <f t="shared" si="26"/>
        <v>3144</v>
      </c>
      <c r="I64" s="1793">
        <f t="shared" si="33"/>
        <v>3144</v>
      </c>
      <c r="J64" s="1847"/>
      <c r="K64" s="1793">
        <v>3144</v>
      </c>
      <c r="L64" s="1847"/>
      <c r="M64" s="1847"/>
      <c r="N64" s="1848"/>
      <c r="O64" s="1835">
        <f t="shared" si="28"/>
        <v>0.89828571428571424</v>
      </c>
    </row>
    <row r="65" spans="1:16" ht="12.75">
      <c r="A65" s="2353"/>
      <c r="B65" s="2392"/>
      <c r="C65" s="2393"/>
      <c r="D65" s="1832" t="s">
        <v>25</v>
      </c>
      <c r="E65" s="1833">
        <v>8500</v>
      </c>
      <c r="F65" s="1833">
        <v>4500</v>
      </c>
      <c r="G65" s="1793">
        <f t="shared" si="32"/>
        <v>2500</v>
      </c>
      <c r="H65" s="1793">
        <f t="shared" si="26"/>
        <v>2500</v>
      </c>
      <c r="I65" s="1793">
        <f t="shared" si="33"/>
        <v>2500</v>
      </c>
      <c r="J65" s="1793"/>
      <c r="K65" s="1793">
        <v>2500</v>
      </c>
      <c r="L65" s="1847"/>
      <c r="M65" s="1847"/>
      <c r="N65" s="1848"/>
      <c r="O65" s="1835">
        <f t="shared" si="28"/>
        <v>0.55555555555555558</v>
      </c>
    </row>
    <row r="66" spans="1:16" ht="29.25" customHeight="1">
      <c r="A66" s="2353"/>
      <c r="B66" s="2388" t="s">
        <v>778</v>
      </c>
      <c r="C66" s="2390" t="s">
        <v>396</v>
      </c>
      <c r="D66" s="1827" t="s">
        <v>1016</v>
      </c>
      <c r="E66" s="1828">
        <f>SUM(E67:E75)</f>
        <v>200000</v>
      </c>
      <c r="F66" s="1828">
        <f>SUM(F67:F75)</f>
        <v>200000</v>
      </c>
      <c r="G66" s="1829">
        <f>SUM(H66,N66)</f>
        <v>197139</v>
      </c>
      <c r="H66" s="1829">
        <f t="shared" si="26"/>
        <v>197139</v>
      </c>
      <c r="I66" s="1829">
        <f>SUM(J66:K66)</f>
        <v>196111</v>
      </c>
      <c r="J66" s="1829">
        <f>SUM(J67:J75)</f>
        <v>117515</v>
      </c>
      <c r="K66" s="1829">
        <f>SUM(K67:K75)</f>
        <v>78596</v>
      </c>
      <c r="L66" s="1829">
        <v>0</v>
      </c>
      <c r="M66" s="1829">
        <f>SUM(M67:M75)</f>
        <v>1028</v>
      </c>
      <c r="N66" s="1830">
        <f>SUM(N68:N75)</f>
        <v>0</v>
      </c>
      <c r="O66" s="1831">
        <f t="shared" si="28"/>
        <v>0.98569499999999999</v>
      </c>
      <c r="P66" s="1826"/>
    </row>
    <row r="67" spans="1:16" ht="12.75">
      <c r="A67" s="2353"/>
      <c r="B67" s="2389"/>
      <c r="C67" s="2391"/>
      <c r="D67" s="1850" t="s">
        <v>750</v>
      </c>
      <c r="E67" s="1828"/>
      <c r="F67" s="1851">
        <v>1029</v>
      </c>
      <c r="G67" s="1793">
        <f>SUM(H67,N67)</f>
        <v>1028</v>
      </c>
      <c r="H67" s="1793">
        <f>SUM(I67,L67,M67)</f>
        <v>1028</v>
      </c>
      <c r="I67" s="1793"/>
      <c r="J67" s="1829"/>
      <c r="K67" s="1829"/>
      <c r="L67" s="1829"/>
      <c r="M67" s="1793">
        <v>1028</v>
      </c>
      <c r="N67" s="1830"/>
      <c r="O67" s="1835">
        <f t="shared" si="28"/>
        <v>0.99902818270165206</v>
      </c>
      <c r="P67" s="1826"/>
    </row>
    <row r="68" spans="1:16" ht="12.75">
      <c r="A68" s="2353"/>
      <c r="B68" s="2389"/>
      <c r="C68" s="2391"/>
      <c r="D68" s="1832" t="s">
        <v>145</v>
      </c>
      <c r="E68" s="1833">
        <v>76776</v>
      </c>
      <c r="F68" s="1833">
        <v>100937</v>
      </c>
      <c r="G68" s="1793">
        <f t="shared" ref="G68:G75" si="34">SUM(H68,N68)</f>
        <v>99678</v>
      </c>
      <c r="H68" s="1793">
        <f t="shared" ref="H68:H75" si="35">SUM(I68,L68,M68)</f>
        <v>99678</v>
      </c>
      <c r="I68" s="1793">
        <f t="shared" ref="I68:I75" si="36">SUM(J68:K68)</f>
        <v>99678</v>
      </c>
      <c r="J68" s="1793">
        <v>99678</v>
      </c>
      <c r="K68" s="1847"/>
      <c r="L68" s="1847"/>
      <c r="M68" s="1847"/>
      <c r="N68" s="1848"/>
      <c r="O68" s="1835">
        <f t="shared" si="28"/>
        <v>0.98752687319813348</v>
      </c>
    </row>
    <row r="69" spans="1:16" ht="12.75">
      <c r="A69" s="2353"/>
      <c r="B69" s="2389"/>
      <c r="C69" s="2391"/>
      <c r="D69" s="1832" t="s">
        <v>146</v>
      </c>
      <c r="E69" s="1833">
        <v>13343</v>
      </c>
      <c r="F69" s="1833">
        <v>17125</v>
      </c>
      <c r="G69" s="1793">
        <f t="shared" si="34"/>
        <v>16907</v>
      </c>
      <c r="H69" s="1793">
        <f t="shared" si="35"/>
        <v>16907</v>
      </c>
      <c r="I69" s="1793">
        <f t="shared" si="36"/>
        <v>16907</v>
      </c>
      <c r="J69" s="1793">
        <v>16907</v>
      </c>
      <c r="K69" s="1847"/>
      <c r="L69" s="1847"/>
      <c r="M69" s="1847"/>
      <c r="N69" s="1848"/>
      <c r="O69" s="1835">
        <f t="shared" si="28"/>
        <v>0.98727007299270075</v>
      </c>
    </row>
    <row r="70" spans="1:16" ht="12.75">
      <c r="A70" s="2353"/>
      <c r="B70" s="2389"/>
      <c r="C70" s="2391"/>
      <c r="D70" s="1832" t="s">
        <v>147</v>
      </c>
      <c r="E70" s="1833">
        <v>1881</v>
      </c>
      <c r="F70" s="1833">
        <v>961</v>
      </c>
      <c r="G70" s="1793">
        <f t="shared" si="34"/>
        <v>930</v>
      </c>
      <c r="H70" s="1793">
        <f t="shared" si="35"/>
        <v>930</v>
      </c>
      <c r="I70" s="1793">
        <f t="shared" si="36"/>
        <v>930</v>
      </c>
      <c r="J70" s="1793">
        <v>930</v>
      </c>
      <c r="K70" s="1847"/>
      <c r="L70" s="1847"/>
      <c r="M70" s="1847"/>
      <c r="N70" s="1848"/>
      <c r="O70" s="1835">
        <f t="shared" si="28"/>
        <v>0.967741935483871</v>
      </c>
    </row>
    <row r="71" spans="1:16" ht="12.75">
      <c r="A71" s="2353"/>
      <c r="B71" s="2389"/>
      <c r="C71" s="2391"/>
      <c r="D71" s="1832" t="s">
        <v>568</v>
      </c>
      <c r="E71" s="1833">
        <v>3000</v>
      </c>
      <c r="F71" s="1833"/>
      <c r="G71" s="1793"/>
      <c r="H71" s="1793"/>
      <c r="I71" s="1793"/>
      <c r="J71" s="1793"/>
      <c r="K71" s="1847"/>
      <c r="L71" s="1847"/>
      <c r="M71" s="1847"/>
      <c r="N71" s="1848"/>
      <c r="O71" s="1835"/>
    </row>
    <row r="72" spans="1:16" ht="12.75">
      <c r="A72" s="2353"/>
      <c r="B72" s="2389"/>
      <c r="C72" s="2391"/>
      <c r="D72" s="1832" t="s">
        <v>143</v>
      </c>
      <c r="E72" s="1833">
        <v>80000</v>
      </c>
      <c r="F72" s="1833">
        <v>74446</v>
      </c>
      <c r="G72" s="1793">
        <f t="shared" si="34"/>
        <v>73094</v>
      </c>
      <c r="H72" s="1793">
        <f t="shared" si="35"/>
        <v>73094</v>
      </c>
      <c r="I72" s="1793">
        <f t="shared" si="36"/>
        <v>73094</v>
      </c>
      <c r="J72" s="1793"/>
      <c r="K72" s="1793">
        <v>73094</v>
      </c>
      <c r="L72" s="1847"/>
      <c r="M72" s="1847"/>
      <c r="N72" s="1848"/>
      <c r="O72" s="1835">
        <f t="shared" si="28"/>
        <v>0.98183918544985627</v>
      </c>
    </row>
    <row r="73" spans="1:16" ht="12.75">
      <c r="A73" s="2353"/>
      <c r="B73" s="2389"/>
      <c r="C73" s="2391"/>
      <c r="D73" s="1832" t="s">
        <v>25</v>
      </c>
      <c r="E73" s="1833">
        <v>15000</v>
      </c>
      <c r="F73" s="1833">
        <v>5202</v>
      </c>
      <c r="G73" s="1793">
        <f t="shared" si="34"/>
        <v>5202</v>
      </c>
      <c r="H73" s="1793">
        <f t="shared" si="35"/>
        <v>5202</v>
      </c>
      <c r="I73" s="1793">
        <f t="shared" si="36"/>
        <v>5202</v>
      </c>
      <c r="J73" s="1793"/>
      <c r="K73" s="1793">
        <v>5202</v>
      </c>
      <c r="L73" s="1847"/>
      <c r="M73" s="1847"/>
      <c r="N73" s="1848"/>
      <c r="O73" s="1835">
        <f t="shared" si="28"/>
        <v>1</v>
      </c>
    </row>
    <row r="74" spans="1:16" ht="12.75">
      <c r="A74" s="2353"/>
      <c r="B74" s="2389"/>
      <c r="C74" s="2391"/>
      <c r="D74" s="1832" t="s">
        <v>587</v>
      </c>
      <c r="E74" s="1833">
        <v>5000</v>
      </c>
      <c r="F74" s="1833"/>
      <c r="G74" s="1793"/>
      <c r="H74" s="1793"/>
      <c r="I74" s="1793"/>
      <c r="J74" s="1793"/>
      <c r="K74" s="1793"/>
      <c r="L74" s="1847"/>
      <c r="M74" s="1847"/>
      <c r="N74" s="1848"/>
      <c r="O74" s="1835"/>
    </row>
    <row r="75" spans="1:16" ht="12.75">
      <c r="A75" s="2344"/>
      <c r="B75" s="2392"/>
      <c r="C75" s="2393"/>
      <c r="D75" s="1832" t="s">
        <v>148</v>
      </c>
      <c r="E75" s="1833">
        <v>5000</v>
      </c>
      <c r="F75" s="1833">
        <v>300</v>
      </c>
      <c r="G75" s="1793">
        <f t="shared" si="34"/>
        <v>300</v>
      </c>
      <c r="H75" s="1793">
        <f t="shared" si="35"/>
        <v>300</v>
      </c>
      <c r="I75" s="1793">
        <f t="shared" si="36"/>
        <v>300</v>
      </c>
      <c r="J75" s="1847"/>
      <c r="K75" s="1793">
        <v>300</v>
      </c>
      <c r="L75" s="1847"/>
      <c r="M75" s="1847"/>
      <c r="N75" s="1848"/>
      <c r="O75" s="1835">
        <f t="shared" si="28"/>
        <v>1</v>
      </c>
    </row>
    <row r="76" spans="1:16" ht="42" customHeight="1">
      <c r="A76" s="2352" t="s">
        <v>789</v>
      </c>
      <c r="B76" s="2397" t="s">
        <v>409</v>
      </c>
      <c r="C76" s="2397"/>
      <c r="D76" s="1823"/>
      <c r="E76" s="1824">
        <f>SUM(E77)</f>
        <v>0</v>
      </c>
      <c r="F76" s="1824">
        <f>SUM(F77)</f>
        <v>1014606</v>
      </c>
      <c r="G76" s="1824">
        <f>H76+N76</f>
        <v>927917</v>
      </c>
      <c r="H76" s="1824">
        <f>I76+L76+M76</f>
        <v>927917</v>
      </c>
      <c r="I76" s="1824">
        <f>J76+K76</f>
        <v>924157</v>
      </c>
      <c r="J76" s="1824">
        <f t="shared" ref="J76:K76" si="37">SUM(J77)</f>
        <v>644903</v>
      </c>
      <c r="K76" s="1824">
        <f t="shared" si="37"/>
        <v>279254</v>
      </c>
      <c r="L76" s="1824">
        <f>SUM(L77)</f>
        <v>0</v>
      </c>
      <c r="M76" s="1824">
        <f>SUM(M77)</f>
        <v>3760</v>
      </c>
      <c r="N76" s="1824">
        <f>SUM(N77)</f>
        <v>0</v>
      </c>
      <c r="O76" s="1825">
        <f t="shared" ref="O76" si="38">G76/F76</f>
        <v>0.91455895194784975</v>
      </c>
    </row>
    <row r="77" spans="1:16" ht="29.25" customHeight="1">
      <c r="A77" s="2353"/>
      <c r="B77" s="2388" t="s">
        <v>995</v>
      </c>
      <c r="C77" s="2390" t="s">
        <v>996</v>
      </c>
      <c r="D77" s="1827" t="s">
        <v>1016</v>
      </c>
      <c r="E77" s="1828">
        <f>SUM(E78:E84)</f>
        <v>0</v>
      </c>
      <c r="F77" s="1828">
        <f>SUM(F78:F84)</f>
        <v>1014606</v>
      </c>
      <c r="G77" s="1829">
        <f t="shared" ref="G77" si="39">SUM(H77,N77)</f>
        <v>927917</v>
      </c>
      <c r="H77" s="1829">
        <f t="shared" ref="H77" si="40">SUM(I77,L77,M77)</f>
        <v>927917</v>
      </c>
      <c r="I77" s="1829">
        <f t="shared" ref="I77" si="41">SUM(J77:K77)</f>
        <v>924157</v>
      </c>
      <c r="J77" s="1829">
        <f>SUM(J79:J84)</f>
        <v>644903</v>
      </c>
      <c r="K77" s="1829">
        <f>SUM(K79:K84)</f>
        <v>279254</v>
      </c>
      <c r="L77" s="1829">
        <v>0</v>
      </c>
      <c r="M77" s="1829">
        <f>SUM(M78:M84)</f>
        <v>3760</v>
      </c>
      <c r="N77" s="1830">
        <v>0</v>
      </c>
      <c r="O77" s="1831">
        <f t="shared" ref="O77:O84" si="42">SUM(G77/F77)</f>
        <v>0.91455895194784975</v>
      </c>
      <c r="P77" s="1826"/>
    </row>
    <row r="78" spans="1:16" ht="12.75">
      <c r="A78" s="2353"/>
      <c r="B78" s="2389"/>
      <c r="C78" s="2391"/>
      <c r="D78" s="1850" t="s">
        <v>750</v>
      </c>
      <c r="E78" s="1851"/>
      <c r="F78" s="1851">
        <v>5650</v>
      </c>
      <c r="G78" s="1793">
        <f>H78+N78</f>
        <v>3760</v>
      </c>
      <c r="H78" s="1793">
        <f>I78+L78+M78</f>
        <v>3760</v>
      </c>
      <c r="I78" s="1793"/>
      <c r="J78" s="1793"/>
      <c r="K78" s="1793"/>
      <c r="L78" s="1793"/>
      <c r="M78" s="1793">
        <v>3760</v>
      </c>
      <c r="N78" s="1834"/>
      <c r="O78" s="1835">
        <f t="shared" si="42"/>
        <v>0.6654867256637168</v>
      </c>
      <c r="P78" s="1826"/>
    </row>
    <row r="79" spans="1:16" ht="12.75">
      <c r="A79" s="2353"/>
      <c r="B79" s="2389"/>
      <c r="C79" s="2391"/>
      <c r="D79" s="1832" t="s">
        <v>146</v>
      </c>
      <c r="E79" s="1833"/>
      <c r="F79" s="1833">
        <v>126080</v>
      </c>
      <c r="G79" s="1793">
        <f t="shared" ref="G79:G84" si="43">H79+N79</f>
        <v>87782</v>
      </c>
      <c r="H79" s="1793">
        <f t="shared" ref="H79:H84" si="44">I79+L79+M79</f>
        <v>87782</v>
      </c>
      <c r="I79" s="1793">
        <f t="shared" ref="I79:I84" si="45">J79+K79</f>
        <v>87782</v>
      </c>
      <c r="J79" s="1793">
        <v>87782</v>
      </c>
      <c r="K79" s="1847"/>
      <c r="L79" s="1847"/>
      <c r="M79" s="1847"/>
      <c r="N79" s="1848"/>
      <c r="O79" s="1835">
        <f t="shared" si="42"/>
        <v>0.69624048223350254</v>
      </c>
    </row>
    <row r="80" spans="1:16" ht="12.75">
      <c r="A80" s="2353"/>
      <c r="B80" s="2389"/>
      <c r="C80" s="2391"/>
      <c r="D80" s="1832" t="s">
        <v>147</v>
      </c>
      <c r="E80" s="1833"/>
      <c r="F80" s="1833">
        <v>17773</v>
      </c>
      <c r="G80" s="1793">
        <f t="shared" si="43"/>
        <v>11721</v>
      </c>
      <c r="H80" s="1793">
        <f t="shared" si="44"/>
        <v>11721</v>
      </c>
      <c r="I80" s="1793">
        <f t="shared" si="45"/>
        <v>11721</v>
      </c>
      <c r="J80" s="1793">
        <v>11721</v>
      </c>
      <c r="K80" s="1847"/>
      <c r="L80" s="1847"/>
      <c r="M80" s="1847"/>
      <c r="N80" s="1848"/>
      <c r="O80" s="1835">
        <f t="shared" si="42"/>
        <v>0.65948348618691277</v>
      </c>
    </row>
    <row r="81" spans="1:16" ht="12.75">
      <c r="A81" s="2353"/>
      <c r="B81" s="2389"/>
      <c r="C81" s="2391"/>
      <c r="D81" s="1832" t="s">
        <v>568</v>
      </c>
      <c r="E81" s="1833"/>
      <c r="F81" s="1833">
        <v>555103</v>
      </c>
      <c r="G81" s="1793">
        <f t="shared" si="43"/>
        <v>545400</v>
      </c>
      <c r="H81" s="1793">
        <f t="shared" si="44"/>
        <v>545400</v>
      </c>
      <c r="I81" s="1793">
        <f t="shared" si="45"/>
        <v>545400</v>
      </c>
      <c r="J81" s="1793">
        <v>545400</v>
      </c>
      <c r="K81" s="1847"/>
      <c r="L81" s="1847"/>
      <c r="M81" s="1847"/>
      <c r="N81" s="1848"/>
      <c r="O81" s="1835">
        <f t="shared" si="42"/>
        <v>0.98252036108614083</v>
      </c>
    </row>
    <row r="82" spans="1:16" ht="12.75">
      <c r="A82" s="2353"/>
      <c r="B82" s="2389"/>
      <c r="C82" s="2391"/>
      <c r="D82" s="1832" t="s">
        <v>143</v>
      </c>
      <c r="E82" s="1833"/>
      <c r="F82" s="1833">
        <v>25000</v>
      </c>
      <c r="G82" s="1793">
        <f t="shared" si="43"/>
        <v>512</v>
      </c>
      <c r="H82" s="1793">
        <f t="shared" si="44"/>
        <v>512</v>
      </c>
      <c r="I82" s="1793">
        <f t="shared" si="45"/>
        <v>512</v>
      </c>
      <c r="J82" s="1793"/>
      <c r="K82" s="1793">
        <v>512</v>
      </c>
      <c r="L82" s="1847"/>
      <c r="M82" s="1847"/>
      <c r="N82" s="1848"/>
      <c r="O82" s="1835">
        <f t="shared" si="42"/>
        <v>2.0480000000000002E-2</v>
      </c>
    </row>
    <row r="83" spans="1:16" ht="12.75">
      <c r="A83" s="2353"/>
      <c r="B83" s="2389"/>
      <c r="C83" s="2391"/>
      <c r="D83" s="1832" t="s">
        <v>574</v>
      </c>
      <c r="E83" s="1833"/>
      <c r="F83" s="1833">
        <v>5000</v>
      </c>
      <c r="G83" s="1793">
        <f t="shared" si="43"/>
        <v>121</v>
      </c>
      <c r="H83" s="1793">
        <f t="shared" si="44"/>
        <v>121</v>
      </c>
      <c r="I83" s="1793">
        <f t="shared" si="45"/>
        <v>121</v>
      </c>
      <c r="J83" s="1793"/>
      <c r="K83" s="1793">
        <v>121</v>
      </c>
      <c r="L83" s="1847"/>
      <c r="M83" s="1847"/>
      <c r="N83" s="1848"/>
      <c r="O83" s="1835">
        <f t="shared" si="42"/>
        <v>2.4199999999999999E-2</v>
      </c>
    </row>
    <row r="84" spans="1:16" ht="12.75">
      <c r="A84" s="2344"/>
      <c r="B84" s="2392"/>
      <c r="C84" s="2393"/>
      <c r="D84" s="1832" t="s">
        <v>25</v>
      </c>
      <c r="E84" s="1833"/>
      <c r="F84" s="1833">
        <v>280000</v>
      </c>
      <c r="G84" s="1793">
        <f t="shared" si="43"/>
        <v>278621</v>
      </c>
      <c r="H84" s="1793">
        <f t="shared" si="44"/>
        <v>278621</v>
      </c>
      <c r="I84" s="1793">
        <f t="shared" si="45"/>
        <v>278621</v>
      </c>
      <c r="J84" s="1793"/>
      <c r="K84" s="1793">
        <v>278621</v>
      </c>
      <c r="L84" s="1847"/>
      <c r="M84" s="1847"/>
      <c r="N84" s="1848"/>
      <c r="O84" s="1835">
        <f t="shared" si="42"/>
        <v>0.99507500000000004</v>
      </c>
    </row>
    <row r="85" spans="1:16" s="1857" customFormat="1" ht="30" customHeight="1">
      <c r="A85" s="2352" t="s">
        <v>84</v>
      </c>
      <c r="B85" s="2396" t="s">
        <v>85</v>
      </c>
      <c r="C85" s="2396"/>
      <c r="D85" s="1852"/>
      <c r="E85" s="1853">
        <f>SUM(E86)</f>
        <v>0</v>
      </c>
      <c r="F85" s="1853">
        <f>SUM(F86)</f>
        <v>12619</v>
      </c>
      <c r="G85" s="1853">
        <f>SUM(G86)</f>
        <v>12447</v>
      </c>
      <c r="H85" s="1853">
        <f>SUM(H86)</f>
        <v>12447</v>
      </c>
      <c r="I85" s="1853">
        <f>SUM(I86)</f>
        <v>12447</v>
      </c>
      <c r="J85" s="1853">
        <v>0</v>
      </c>
      <c r="K85" s="1853">
        <f>SUM(K86)</f>
        <v>12447</v>
      </c>
      <c r="L85" s="1853">
        <v>0</v>
      </c>
      <c r="M85" s="1853">
        <v>0</v>
      </c>
      <c r="N85" s="1853">
        <v>0</v>
      </c>
      <c r="O85" s="1854">
        <f t="shared" ref="O85:O124" si="46">G85/F85</f>
        <v>0.98636975988588638</v>
      </c>
    </row>
    <row r="86" spans="1:16" ht="33.75" customHeight="1">
      <c r="A86" s="2353"/>
      <c r="B86" s="2388" t="s">
        <v>858</v>
      </c>
      <c r="C86" s="2390" t="s">
        <v>467</v>
      </c>
      <c r="D86" s="1827" t="s">
        <v>1016</v>
      </c>
      <c r="E86" s="1828">
        <f>SUM(E87:E88)</f>
        <v>0</v>
      </c>
      <c r="F86" s="1828">
        <f>SUM(F87:F88)</f>
        <v>12619</v>
      </c>
      <c r="G86" s="1829">
        <f t="shared" ref="G86" si="47">SUM(H86,N86)</f>
        <v>12447</v>
      </c>
      <c r="H86" s="1829">
        <f t="shared" ref="H86" si="48">SUM(I86,L86,M86)</f>
        <v>12447</v>
      </c>
      <c r="I86" s="1829">
        <f t="shared" ref="I86" si="49">SUM(J86:K86)</f>
        <v>12447</v>
      </c>
      <c r="J86" s="1829">
        <v>0</v>
      </c>
      <c r="K86" s="1829">
        <f>SUM(K87:K88)</f>
        <v>12447</v>
      </c>
      <c r="L86" s="1829">
        <v>0</v>
      </c>
      <c r="M86" s="1829">
        <v>0</v>
      </c>
      <c r="N86" s="1830">
        <v>0</v>
      </c>
      <c r="O86" s="1831">
        <f t="shared" ref="O86:O88" si="50">SUM(G86/F86)</f>
        <v>0.98636975988588638</v>
      </c>
      <c r="P86" s="1826"/>
    </row>
    <row r="87" spans="1:16" ht="19.5" customHeight="1">
      <c r="A87" s="2353"/>
      <c r="B87" s="2389"/>
      <c r="C87" s="2391"/>
      <c r="D87" s="1832" t="s">
        <v>724</v>
      </c>
      <c r="E87" s="1833"/>
      <c r="F87" s="1833">
        <v>12494</v>
      </c>
      <c r="G87" s="1793">
        <f>H87+N87</f>
        <v>12447</v>
      </c>
      <c r="H87" s="1793">
        <f>SUM(I87,L87,M87)</f>
        <v>12447</v>
      </c>
      <c r="I87" s="1793">
        <f>J87+K87</f>
        <v>12447</v>
      </c>
      <c r="J87" s="1793"/>
      <c r="K87" s="1793">
        <v>12447</v>
      </c>
      <c r="L87" s="1847"/>
      <c r="M87" s="1847"/>
      <c r="N87" s="1848"/>
      <c r="O87" s="1835">
        <f t="shared" si="50"/>
        <v>0.99623819433327998</v>
      </c>
    </row>
    <row r="88" spans="1:16" ht="19.5" customHeight="1">
      <c r="A88" s="2344"/>
      <c r="B88" s="2389"/>
      <c r="C88" s="2391"/>
      <c r="D88" s="1832" t="s">
        <v>25</v>
      </c>
      <c r="E88" s="1833"/>
      <c r="F88" s="1833">
        <v>125</v>
      </c>
      <c r="G88" s="1793"/>
      <c r="H88" s="1793"/>
      <c r="I88" s="1793"/>
      <c r="J88" s="1793"/>
      <c r="K88" s="1793"/>
      <c r="L88" s="1847"/>
      <c r="M88" s="1847"/>
      <c r="N88" s="1848"/>
      <c r="O88" s="1835">
        <f t="shared" si="50"/>
        <v>0</v>
      </c>
    </row>
    <row r="89" spans="1:16" ht="30" customHeight="1">
      <c r="A89" s="2352" t="s">
        <v>119</v>
      </c>
      <c r="B89" s="2396" t="s">
        <v>120</v>
      </c>
      <c r="C89" s="2396"/>
      <c r="D89" s="1852"/>
      <c r="E89" s="1853">
        <f>E92+E94+E90</f>
        <v>97000</v>
      </c>
      <c r="F89" s="1853">
        <f>F92+F94+F90</f>
        <v>823412</v>
      </c>
      <c r="G89" s="1853">
        <f>SUM(G92,G94,G90)</f>
        <v>776880</v>
      </c>
      <c r="H89" s="1853">
        <f t="shared" ref="H89:K89" si="51">SUM(H92,H94,H90)</f>
        <v>54933</v>
      </c>
      <c r="I89" s="1853">
        <f t="shared" si="51"/>
        <v>54933</v>
      </c>
      <c r="J89" s="1853">
        <f t="shared" si="51"/>
        <v>22689</v>
      </c>
      <c r="K89" s="1853">
        <f t="shared" si="51"/>
        <v>32244</v>
      </c>
      <c r="L89" s="1853">
        <v>0</v>
      </c>
      <c r="M89" s="1853">
        <v>0</v>
      </c>
      <c r="N89" s="1858">
        <f>SUM(N90,N92,N94)</f>
        <v>721947</v>
      </c>
      <c r="O89" s="1854">
        <f t="shared" si="46"/>
        <v>0.94348880026037996</v>
      </c>
    </row>
    <row r="90" spans="1:16" ht="21.75" customHeight="1">
      <c r="A90" s="2353"/>
      <c r="B90" s="2388" t="s">
        <v>187</v>
      </c>
      <c r="C90" s="2390" t="s">
        <v>487</v>
      </c>
      <c r="D90" s="1827" t="s">
        <v>1016</v>
      </c>
      <c r="E90" s="1828">
        <f>SUM(E91)</f>
        <v>40000</v>
      </c>
      <c r="F90" s="1828">
        <f>SUM(F91)</f>
        <v>740000</v>
      </c>
      <c r="G90" s="1829">
        <f>SUM(H90,N90)</f>
        <v>721947</v>
      </c>
      <c r="H90" s="1829">
        <v>0</v>
      </c>
      <c r="I90" s="1829">
        <v>0</v>
      </c>
      <c r="J90" s="1829">
        <v>0</v>
      </c>
      <c r="K90" s="1829">
        <v>0</v>
      </c>
      <c r="L90" s="1829">
        <v>0</v>
      </c>
      <c r="M90" s="1829">
        <v>0</v>
      </c>
      <c r="N90" s="1830">
        <f>SUM(N91)</f>
        <v>721947</v>
      </c>
      <c r="O90" s="1831">
        <f t="shared" si="46"/>
        <v>0.97560405405405404</v>
      </c>
      <c r="P90" s="1826"/>
    </row>
    <row r="91" spans="1:16" ht="12.75">
      <c r="A91" s="2353"/>
      <c r="B91" s="2389"/>
      <c r="C91" s="2391"/>
      <c r="D91" s="1832" t="s">
        <v>188</v>
      </c>
      <c r="E91" s="1833">
        <v>40000</v>
      </c>
      <c r="F91" s="1833">
        <v>740000</v>
      </c>
      <c r="G91" s="1793">
        <f>H91+N91</f>
        <v>721947</v>
      </c>
      <c r="H91" s="1793"/>
      <c r="I91" s="1793"/>
      <c r="J91" s="1793"/>
      <c r="K91" s="1793"/>
      <c r="L91" s="1847"/>
      <c r="M91" s="1847"/>
      <c r="N91" s="1834">
        <v>721947</v>
      </c>
      <c r="O91" s="1835">
        <f t="shared" si="46"/>
        <v>0.97560405405405404</v>
      </c>
    </row>
    <row r="92" spans="1:16" ht="36" customHeight="1">
      <c r="A92" s="2353"/>
      <c r="B92" s="2388" t="s">
        <v>894</v>
      </c>
      <c r="C92" s="2390" t="s">
        <v>494</v>
      </c>
      <c r="D92" s="1827" t="s">
        <v>1016</v>
      </c>
      <c r="E92" s="1828">
        <f>SUM(E93:E93)</f>
        <v>27000</v>
      </c>
      <c r="F92" s="1828">
        <f>SUM(F93)</f>
        <v>22612</v>
      </c>
      <c r="G92" s="1829">
        <f t="shared" ref="G92:G94" si="52">SUM(H92,N92)</f>
        <v>22333</v>
      </c>
      <c r="H92" s="1829">
        <f t="shared" ref="H92:H94" si="53">SUM(I92,L92,M92)</f>
        <v>22333</v>
      </c>
      <c r="I92" s="1829">
        <f t="shared" ref="I92:I94" si="54">SUM(J92:K92)</f>
        <v>22333</v>
      </c>
      <c r="J92" s="1829">
        <v>0</v>
      </c>
      <c r="K92" s="1829">
        <f>SUM(K93)</f>
        <v>22333</v>
      </c>
      <c r="L92" s="1829">
        <v>0</v>
      </c>
      <c r="M92" s="1829">
        <v>0</v>
      </c>
      <c r="N92" s="1830">
        <v>0</v>
      </c>
      <c r="O92" s="1831">
        <f t="shared" si="46"/>
        <v>0.98766141871572621</v>
      </c>
      <c r="P92" s="1826"/>
    </row>
    <row r="93" spans="1:16" ht="24.75" customHeight="1">
      <c r="A93" s="2353"/>
      <c r="B93" s="2392"/>
      <c r="C93" s="2393"/>
      <c r="D93" s="1832" t="s">
        <v>895</v>
      </c>
      <c r="E93" s="1833">
        <v>27000</v>
      </c>
      <c r="F93" s="1833">
        <v>22612</v>
      </c>
      <c r="G93" s="1793">
        <f>H93+N93</f>
        <v>22333</v>
      </c>
      <c r="H93" s="1793">
        <f>I93+L93+M93</f>
        <v>22333</v>
      </c>
      <c r="I93" s="1793">
        <f>J93+K93</f>
        <v>22333</v>
      </c>
      <c r="J93" s="1793"/>
      <c r="K93" s="1793">
        <v>22333</v>
      </c>
      <c r="L93" s="1847"/>
      <c r="M93" s="1847"/>
      <c r="N93" s="1848"/>
      <c r="O93" s="1835">
        <f t="shared" si="46"/>
        <v>0.98766141871572621</v>
      </c>
    </row>
    <row r="94" spans="1:16" ht="22.5" customHeight="1">
      <c r="A94" s="2353"/>
      <c r="B94" s="2388" t="s">
        <v>897</v>
      </c>
      <c r="C94" s="2390" t="s">
        <v>11</v>
      </c>
      <c r="D94" s="1856" t="s">
        <v>1016</v>
      </c>
      <c r="E94" s="1840">
        <f>SUM(E95:E96)</f>
        <v>30000</v>
      </c>
      <c r="F94" s="1840">
        <f>SUM(F95:F96)</f>
        <v>60800</v>
      </c>
      <c r="G94" s="1841">
        <f t="shared" si="52"/>
        <v>32600</v>
      </c>
      <c r="H94" s="1841">
        <f t="shared" si="53"/>
        <v>32600</v>
      </c>
      <c r="I94" s="1841">
        <f t="shared" si="54"/>
        <v>32600</v>
      </c>
      <c r="J94" s="1841">
        <f>SUM(J95:J96)</f>
        <v>22689</v>
      </c>
      <c r="K94" s="1841">
        <f>SUM(K95:K96)</f>
        <v>9911</v>
      </c>
      <c r="L94" s="1841">
        <v>0</v>
      </c>
      <c r="M94" s="1841">
        <v>0</v>
      </c>
      <c r="N94" s="1842">
        <v>0</v>
      </c>
      <c r="O94" s="1831">
        <f t="shared" si="46"/>
        <v>0.53618421052631582</v>
      </c>
    </row>
    <row r="95" spans="1:16" ht="12.75">
      <c r="A95" s="2353"/>
      <c r="B95" s="2389"/>
      <c r="C95" s="2391"/>
      <c r="D95" s="1836" t="s">
        <v>568</v>
      </c>
      <c r="E95" s="1837">
        <v>27200</v>
      </c>
      <c r="F95" s="1837">
        <v>48800</v>
      </c>
      <c r="G95" s="1838">
        <f>H95+N95</f>
        <v>22689</v>
      </c>
      <c r="H95" s="1838">
        <f>I95+L95+M95</f>
        <v>22689</v>
      </c>
      <c r="I95" s="1838">
        <f>J95+K95</f>
        <v>22689</v>
      </c>
      <c r="J95" s="1838">
        <v>22689</v>
      </c>
      <c r="K95" s="1838"/>
      <c r="L95" s="1844"/>
      <c r="M95" s="1844"/>
      <c r="N95" s="1845"/>
      <c r="O95" s="1835">
        <f t="shared" si="46"/>
        <v>0.46493852459016394</v>
      </c>
    </row>
    <row r="96" spans="1:16" ht="12.75">
      <c r="A96" s="2344"/>
      <c r="B96" s="2392"/>
      <c r="C96" s="2393"/>
      <c r="D96" s="1836" t="s">
        <v>25</v>
      </c>
      <c r="E96" s="1837">
        <v>2800</v>
      </c>
      <c r="F96" s="1837">
        <v>12000</v>
      </c>
      <c r="G96" s="1838">
        <f>H96+N96</f>
        <v>9911</v>
      </c>
      <c r="H96" s="1838">
        <f>I96+L96+M96</f>
        <v>9911</v>
      </c>
      <c r="I96" s="1838">
        <f>J96+K96</f>
        <v>9911</v>
      </c>
      <c r="J96" s="1838"/>
      <c r="K96" s="1838">
        <v>9911</v>
      </c>
      <c r="L96" s="1844"/>
      <c r="M96" s="1844"/>
      <c r="N96" s="1845"/>
      <c r="O96" s="1835">
        <f t="shared" si="46"/>
        <v>0.82591666666666663</v>
      </c>
    </row>
    <row r="97" spans="1:16" ht="30" customHeight="1">
      <c r="A97" s="2352" t="s">
        <v>915</v>
      </c>
      <c r="B97" s="2402" t="s">
        <v>502</v>
      </c>
      <c r="C97" s="2403"/>
      <c r="D97" s="1852"/>
      <c r="E97" s="1853">
        <f>SUM(E98)</f>
        <v>2000</v>
      </c>
      <c r="F97" s="1853">
        <v>0</v>
      </c>
      <c r="G97" s="1853">
        <v>0</v>
      </c>
      <c r="H97" s="1853">
        <v>0</v>
      </c>
      <c r="I97" s="1853">
        <v>0</v>
      </c>
      <c r="J97" s="1853">
        <v>0</v>
      </c>
      <c r="K97" s="1853">
        <v>0</v>
      </c>
      <c r="L97" s="1853">
        <v>0</v>
      </c>
      <c r="M97" s="1853">
        <v>0</v>
      </c>
      <c r="N97" s="1858">
        <v>0</v>
      </c>
      <c r="O97" s="1859"/>
    </row>
    <row r="98" spans="1:16" ht="28.5" customHeight="1">
      <c r="A98" s="2353"/>
      <c r="B98" s="2388" t="s">
        <v>925</v>
      </c>
      <c r="C98" s="2390" t="s">
        <v>926</v>
      </c>
      <c r="D98" s="1827" t="s">
        <v>1016</v>
      </c>
      <c r="E98" s="1828">
        <f>SUM(E99:E101)</f>
        <v>2000</v>
      </c>
      <c r="F98" s="1828">
        <v>0</v>
      </c>
      <c r="G98" s="1828">
        <v>0</v>
      </c>
      <c r="H98" s="1829">
        <v>0</v>
      </c>
      <c r="I98" s="1829">
        <v>0</v>
      </c>
      <c r="J98" s="1829">
        <v>0</v>
      </c>
      <c r="K98" s="1829">
        <v>0</v>
      </c>
      <c r="L98" s="1829">
        <v>0</v>
      </c>
      <c r="M98" s="1829">
        <v>0</v>
      </c>
      <c r="N98" s="1830">
        <v>0</v>
      </c>
      <c r="O98" s="1860"/>
      <c r="P98" s="1826"/>
    </row>
    <row r="99" spans="1:16" ht="12.75">
      <c r="A99" s="2353"/>
      <c r="B99" s="2389"/>
      <c r="C99" s="2391"/>
      <c r="D99" s="1832" t="s">
        <v>750</v>
      </c>
      <c r="E99" s="1833">
        <v>260</v>
      </c>
      <c r="F99" s="1833"/>
      <c r="G99" s="1793"/>
      <c r="H99" s="1847"/>
      <c r="I99" s="1847"/>
      <c r="J99" s="1847"/>
      <c r="K99" s="1847"/>
      <c r="L99" s="1847"/>
      <c r="M99" s="1847"/>
      <c r="N99" s="1848"/>
      <c r="O99" s="1861"/>
    </row>
    <row r="100" spans="1:16" ht="12.75">
      <c r="A100" s="2353"/>
      <c r="B100" s="2389"/>
      <c r="C100" s="2391"/>
      <c r="D100" s="1832" t="s">
        <v>568</v>
      </c>
      <c r="E100" s="1833">
        <v>1240</v>
      </c>
      <c r="F100" s="1833"/>
      <c r="G100" s="1793"/>
      <c r="H100" s="1847"/>
      <c r="I100" s="1847"/>
      <c r="J100" s="1847"/>
      <c r="K100" s="1847"/>
      <c r="L100" s="1847"/>
      <c r="M100" s="1847"/>
      <c r="N100" s="1848"/>
      <c r="O100" s="1861"/>
    </row>
    <row r="101" spans="1:16" ht="12.75">
      <c r="A101" s="2344"/>
      <c r="B101" s="2392"/>
      <c r="C101" s="2393"/>
      <c r="D101" s="1832" t="s">
        <v>143</v>
      </c>
      <c r="E101" s="1833">
        <v>500</v>
      </c>
      <c r="F101" s="1833"/>
      <c r="G101" s="1793"/>
      <c r="H101" s="1847"/>
      <c r="I101" s="1847"/>
      <c r="J101" s="1847"/>
      <c r="K101" s="1847"/>
      <c r="L101" s="1847"/>
      <c r="M101" s="1847"/>
      <c r="N101" s="1848"/>
      <c r="O101" s="1861"/>
    </row>
    <row r="102" spans="1:16" ht="30" customHeight="1">
      <c r="A102" s="2352" t="s">
        <v>121</v>
      </c>
      <c r="B102" s="2396" t="s">
        <v>123</v>
      </c>
      <c r="C102" s="2396"/>
      <c r="D102" s="1823"/>
      <c r="E102" s="1824">
        <f>SUM(E103)</f>
        <v>750000</v>
      </c>
      <c r="F102" s="1824">
        <f>SUM(F103)</f>
        <v>1400925</v>
      </c>
      <c r="G102" s="1824">
        <f>H102+N102</f>
        <v>1400013</v>
      </c>
      <c r="H102" s="1824">
        <f>I102+L102+M102</f>
        <v>1400013</v>
      </c>
      <c r="I102" s="1824">
        <f>J102+K102</f>
        <v>1399333</v>
      </c>
      <c r="J102" s="1824">
        <f>SUM(J103)</f>
        <v>1236078</v>
      </c>
      <c r="K102" s="1824">
        <f>SUM(K103)</f>
        <v>163255</v>
      </c>
      <c r="L102" s="1824">
        <v>0</v>
      </c>
      <c r="M102" s="1824">
        <f>SUM(M103)</f>
        <v>680</v>
      </c>
      <c r="N102" s="1824">
        <v>0</v>
      </c>
      <c r="O102" s="1825">
        <f t="shared" si="46"/>
        <v>0.99934900155254569</v>
      </c>
    </row>
    <row r="103" spans="1:16" ht="29.25" customHeight="1">
      <c r="A103" s="2353"/>
      <c r="B103" s="2405" t="s">
        <v>939</v>
      </c>
      <c r="C103" s="2390" t="s">
        <v>521</v>
      </c>
      <c r="D103" s="1827" t="s">
        <v>1016</v>
      </c>
      <c r="E103" s="1828">
        <f>SUM(E104:E123)</f>
        <v>750000</v>
      </c>
      <c r="F103" s="1828">
        <f>SUM(F104:F123)</f>
        <v>1400925</v>
      </c>
      <c r="G103" s="1829">
        <f>SUM(H103,N103)</f>
        <v>1400013</v>
      </c>
      <c r="H103" s="1829">
        <f>SUM(I103,L103,M103)</f>
        <v>1400013</v>
      </c>
      <c r="I103" s="1829">
        <f>SUM(J103:K103)</f>
        <v>1399333</v>
      </c>
      <c r="J103" s="1829">
        <f>SUM(J104:J123)</f>
        <v>1236078</v>
      </c>
      <c r="K103" s="1829">
        <f>SUM(K104:K123)</f>
        <v>163255</v>
      </c>
      <c r="L103" s="1829">
        <v>0</v>
      </c>
      <c r="M103" s="1829">
        <f>SUM(M104:M123)</f>
        <v>680</v>
      </c>
      <c r="N103" s="1830">
        <v>0</v>
      </c>
      <c r="O103" s="1846">
        <f t="shared" si="46"/>
        <v>0.99934900155254569</v>
      </c>
      <c r="P103" s="1826"/>
    </row>
    <row r="104" spans="1:16" ht="12.75">
      <c r="A104" s="2353"/>
      <c r="B104" s="2406"/>
      <c r="C104" s="2391"/>
      <c r="D104" s="1832" t="s">
        <v>603</v>
      </c>
      <c r="E104" s="1833">
        <v>2000</v>
      </c>
      <c r="F104" s="1833">
        <v>681</v>
      </c>
      <c r="G104" s="1793">
        <f>H104+N104</f>
        <v>680</v>
      </c>
      <c r="H104" s="1793">
        <f>I104+L104+M104</f>
        <v>680</v>
      </c>
      <c r="I104" s="1793"/>
      <c r="J104" s="1793"/>
      <c r="K104" s="1793"/>
      <c r="L104" s="1793"/>
      <c r="M104" s="1793">
        <v>680</v>
      </c>
      <c r="N104" s="1848"/>
      <c r="O104" s="1849">
        <f t="shared" si="46"/>
        <v>0.99853157121879588</v>
      </c>
    </row>
    <row r="105" spans="1:16" ht="12.75">
      <c r="A105" s="2353"/>
      <c r="B105" s="2406"/>
      <c r="C105" s="2391"/>
      <c r="D105" s="1832" t="s">
        <v>145</v>
      </c>
      <c r="E105" s="1833">
        <v>484355</v>
      </c>
      <c r="F105" s="1833">
        <v>997580</v>
      </c>
      <c r="G105" s="1793">
        <f t="shared" ref="G105:G123" si="55">H105+N105</f>
        <v>997492</v>
      </c>
      <c r="H105" s="1793">
        <f t="shared" ref="H105:H123" si="56">I105+L105+M105</f>
        <v>997492</v>
      </c>
      <c r="I105" s="1793">
        <f t="shared" ref="I105:I123" si="57">J105+K105</f>
        <v>997492</v>
      </c>
      <c r="J105" s="1793">
        <v>997492</v>
      </c>
      <c r="K105" s="1793"/>
      <c r="L105" s="1793"/>
      <c r="M105" s="1793"/>
      <c r="N105" s="1848"/>
      <c r="O105" s="1849">
        <f t="shared" si="46"/>
        <v>0.99991178652338664</v>
      </c>
    </row>
    <row r="106" spans="1:16" ht="12.75">
      <c r="A106" s="2353"/>
      <c r="B106" s="2406"/>
      <c r="C106" s="2391"/>
      <c r="D106" s="1832" t="s">
        <v>564</v>
      </c>
      <c r="E106" s="1833">
        <v>56480</v>
      </c>
      <c r="F106" s="1833">
        <v>52829</v>
      </c>
      <c r="G106" s="1793">
        <f t="shared" si="55"/>
        <v>52829</v>
      </c>
      <c r="H106" s="1793">
        <f t="shared" si="56"/>
        <v>52829</v>
      </c>
      <c r="I106" s="1793">
        <f t="shared" si="57"/>
        <v>52829</v>
      </c>
      <c r="J106" s="1793">
        <v>52829</v>
      </c>
      <c r="K106" s="1793"/>
      <c r="L106" s="1793"/>
      <c r="M106" s="1793"/>
      <c r="N106" s="1848"/>
      <c r="O106" s="1849">
        <f t="shared" si="46"/>
        <v>1</v>
      </c>
    </row>
    <row r="107" spans="1:16" ht="12.75">
      <c r="A107" s="2353"/>
      <c r="B107" s="2406"/>
      <c r="C107" s="2391"/>
      <c r="D107" s="1832" t="s">
        <v>146</v>
      </c>
      <c r="E107" s="1833">
        <v>85656</v>
      </c>
      <c r="F107" s="1833">
        <v>166821</v>
      </c>
      <c r="G107" s="1793">
        <f t="shared" si="55"/>
        <v>166696</v>
      </c>
      <c r="H107" s="1793">
        <f t="shared" si="56"/>
        <v>166696</v>
      </c>
      <c r="I107" s="1793">
        <f t="shared" si="57"/>
        <v>166696</v>
      </c>
      <c r="J107" s="1793">
        <v>166696</v>
      </c>
      <c r="K107" s="1793"/>
      <c r="L107" s="1793"/>
      <c r="M107" s="1793"/>
      <c r="N107" s="1848"/>
      <c r="O107" s="1849">
        <f t="shared" si="46"/>
        <v>0.99925069385748799</v>
      </c>
    </row>
    <row r="108" spans="1:16" ht="12.75">
      <c r="A108" s="2353"/>
      <c r="B108" s="2406"/>
      <c r="C108" s="2391"/>
      <c r="D108" s="1832" t="s">
        <v>147</v>
      </c>
      <c r="E108" s="1833">
        <v>12396</v>
      </c>
      <c r="F108" s="1833">
        <v>19319</v>
      </c>
      <c r="G108" s="1793">
        <f t="shared" si="55"/>
        <v>19061</v>
      </c>
      <c r="H108" s="1793">
        <f t="shared" si="56"/>
        <v>19061</v>
      </c>
      <c r="I108" s="1793">
        <f t="shared" si="57"/>
        <v>19061</v>
      </c>
      <c r="J108" s="1793">
        <v>19061</v>
      </c>
      <c r="K108" s="1793"/>
      <c r="L108" s="1793"/>
      <c r="M108" s="1793"/>
      <c r="N108" s="1848"/>
      <c r="O108" s="1849">
        <f t="shared" si="46"/>
        <v>0.98664527149438375</v>
      </c>
    </row>
    <row r="109" spans="1:16" ht="12.75">
      <c r="A109" s="2353"/>
      <c r="B109" s="2406"/>
      <c r="C109" s="2391"/>
      <c r="D109" s="1832" t="s">
        <v>571</v>
      </c>
      <c r="E109" s="1833">
        <v>700</v>
      </c>
      <c r="F109" s="1833">
        <v>183</v>
      </c>
      <c r="G109" s="1793">
        <f t="shared" si="55"/>
        <v>149</v>
      </c>
      <c r="H109" s="1793">
        <f t="shared" si="56"/>
        <v>149</v>
      </c>
      <c r="I109" s="1793">
        <f t="shared" si="57"/>
        <v>149</v>
      </c>
      <c r="J109" s="1793"/>
      <c r="K109" s="1793">
        <v>149</v>
      </c>
      <c r="L109" s="1793"/>
      <c r="M109" s="1793"/>
      <c r="N109" s="1848"/>
      <c r="O109" s="1849">
        <f t="shared" si="46"/>
        <v>0.81420765027322406</v>
      </c>
    </row>
    <row r="110" spans="1:16" ht="12.75">
      <c r="A110" s="2353"/>
      <c r="B110" s="2406"/>
      <c r="C110" s="2391"/>
      <c r="D110" s="1832" t="s">
        <v>143</v>
      </c>
      <c r="E110" s="1833">
        <v>10540</v>
      </c>
      <c r="F110" s="1833">
        <v>42612</v>
      </c>
      <c r="G110" s="1793">
        <f t="shared" si="55"/>
        <v>42610</v>
      </c>
      <c r="H110" s="1793">
        <f t="shared" si="56"/>
        <v>42610</v>
      </c>
      <c r="I110" s="1793">
        <f t="shared" si="57"/>
        <v>42610</v>
      </c>
      <c r="J110" s="1793"/>
      <c r="K110" s="1793">
        <v>42610</v>
      </c>
      <c r="L110" s="1793"/>
      <c r="M110" s="1793"/>
      <c r="N110" s="1848"/>
      <c r="O110" s="1849">
        <f t="shared" si="46"/>
        <v>0.99995306486435742</v>
      </c>
    </row>
    <row r="111" spans="1:16" ht="12.75">
      <c r="A111" s="2353"/>
      <c r="B111" s="2406"/>
      <c r="C111" s="2391"/>
      <c r="D111" s="1832" t="s">
        <v>574</v>
      </c>
      <c r="E111" s="1833">
        <v>1250</v>
      </c>
      <c r="F111" s="1833">
        <v>2641</v>
      </c>
      <c r="G111" s="1793">
        <f t="shared" si="55"/>
        <v>2641</v>
      </c>
      <c r="H111" s="1793">
        <f t="shared" si="56"/>
        <v>2641</v>
      </c>
      <c r="I111" s="1793">
        <f t="shared" si="57"/>
        <v>2641</v>
      </c>
      <c r="J111" s="1793"/>
      <c r="K111" s="1793">
        <v>2641</v>
      </c>
      <c r="L111" s="1793"/>
      <c r="M111" s="1793"/>
      <c r="N111" s="1848"/>
      <c r="O111" s="1849">
        <f t="shared" si="46"/>
        <v>1</v>
      </c>
    </row>
    <row r="112" spans="1:16" ht="12.75">
      <c r="A112" s="2353"/>
      <c r="B112" s="2406"/>
      <c r="C112" s="2391"/>
      <c r="D112" s="1832" t="s">
        <v>724</v>
      </c>
      <c r="E112" s="1833"/>
      <c r="F112" s="1833">
        <v>2416</v>
      </c>
      <c r="G112" s="1793">
        <f t="shared" si="55"/>
        <v>2416</v>
      </c>
      <c r="H112" s="1793">
        <f t="shared" si="56"/>
        <v>2416</v>
      </c>
      <c r="I112" s="1793">
        <f t="shared" si="57"/>
        <v>2416</v>
      </c>
      <c r="J112" s="1793"/>
      <c r="K112" s="1793">
        <v>2416</v>
      </c>
      <c r="L112" s="1793"/>
      <c r="M112" s="1793"/>
      <c r="N112" s="1848"/>
      <c r="O112" s="1849">
        <f t="shared" si="46"/>
        <v>1</v>
      </c>
    </row>
    <row r="113" spans="1:15" ht="12.75">
      <c r="A113" s="2353"/>
      <c r="B113" s="2406"/>
      <c r="C113" s="2391"/>
      <c r="D113" s="1832" t="s">
        <v>576</v>
      </c>
      <c r="E113" s="1833">
        <v>6100</v>
      </c>
      <c r="F113" s="1833">
        <v>12533</v>
      </c>
      <c r="G113" s="1793">
        <f t="shared" si="55"/>
        <v>12533</v>
      </c>
      <c r="H113" s="1793">
        <f t="shared" si="56"/>
        <v>12533</v>
      </c>
      <c r="I113" s="1793">
        <f t="shared" si="57"/>
        <v>12533</v>
      </c>
      <c r="J113" s="1793"/>
      <c r="K113" s="1793">
        <v>12533</v>
      </c>
      <c r="L113" s="1793"/>
      <c r="M113" s="1793"/>
      <c r="N113" s="1848"/>
      <c r="O113" s="1849">
        <f t="shared" si="46"/>
        <v>1</v>
      </c>
    </row>
    <row r="114" spans="1:15" ht="12.75">
      <c r="A114" s="2353"/>
      <c r="B114" s="2406"/>
      <c r="C114" s="2391"/>
      <c r="D114" s="1832" t="s">
        <v>24</v>
      </c>
      <c r="E114" s="1833">
        <v>806</v>
      </c>
      <c r="F114" s="1833">
        <v>2869</v>
      </c>
      <c r="G114" s="1793">
        <f t="shared" si="55"/>
        <v>2858</v>
      </c>
      <c r="H114" s="1793">
        <f t="shared" si="56"/>
        <v>2858</v>
      </c>
      <c r="I114" s="1793">
        <f t="shared" si="57"/>
        <v>2858</v>
      </c>
      <c r="J114" s="1793"/>
      <c r="K114" s="1793">
        <v>2858</v>
      </c>
      <c r="L114" s="1793"/>
      <c r="M114" s="1793"/>
      <c r="N114" s="1848"/>
      <c r="O114" s="1849">
        <f t="shared" si="46"/>
        <v>0.99616591146741029</v>
      </c>
    </row>
    <row r="115" spans="1:15" ht="12.75">
      <c r="A115" s="2353"/>
      <c r="B115" s="2406"/>
      <c r="C115" s="2391"/>
      <c r="D115" s="1832" t="s">
        <v>579</v>
      </c>
      <c r="E115" s="1833">
        <v>600</v>
      </c>
      <c r="F115" s="1833">
        <v>859</v>
      </c>
      <c r="G115" s="1793">
        <f t="shared" si="55"/>
        <v>858</v>
      </c>
      <c r="H115" s="1793">
        <f t="shared" si="56"/>
        <v>858</v>
      </c>
      <c r="I115" s="1793">
        <f t="shared" si="57"/>
        <v>858</v>
      </c>
      <c r="J115" s="1793"/>
      <c r="K115" s="1793">
        <v>858</v>
      </c>
      <c r="L115" s="1793"/>
      <c r="M115" s="1793"/>
      <c r="N115" s="1848"/>
      <c r="O115" s="1849">
        <f t="shared" si="46"/>
        <v>0.99883585564610011</v>
      </c>
    </row>
    <row r="116" spans="1:15" ht="12.75">
      <c r="A116" s="2353"/>
      <c r="B116" s="2406"/>
      <c r="C116" s="2391"/>
      <c r="D116" s="1832" t="s">
        <v>25</v>
      </c>
      <c r="E116" s="1833">
        <v>48000</v>
      </c>
      <c r="F116" s="1833">
        <v>52608</v>
      </c>
      <c r="G116" s="1793">
        <f t="shared" si="55"/>
        <v>52608</v>
      </c>
      <c r="H116" s="1793">
        <f t="shared" si="56"/>
        <v>52608</v>
      </c>
      <c r="I116" s="1793">
        <f t="shared" si="57"/>
        <v>52608</v>
      </c>
      <c r="J116" s="1793"/>
      <c r="K116" s="1793">
        <v>52608</v>
      </c>
      <c r="L116" s="1793"/>
      <c r="M116" s="1793"/>
      <c r="N116" s="1848"/>
      <c r="O116" s="1849">
        <f t="shared" si="46"/>
        <v>1</v>
      </c>
    </row>
    <row r="117" spans="1:15" ht="12.75">
      <c r="A117" s="2353"/>
      <c r="B117" s="2406"/>
      <c r="C117" s="2391"/>
      <c r="D117" s="1832" t="s">
        <v>582</v>
      </c>
      <c r="E117" s="1833">
        <v>2850</v>
      </c>
      <c r="F117" s="1833">
        <v>3394</v>
      </c>
      <c r="G117" s="1793">
        <f t="shared" si="55"/>
        <v>3366</v>
      </c>
      <c r="H117" s="1793">
        <f t="shared" si="56"/>
        <v>3366</v>
      </c>
      <c r="I117" s="1793">
        <f t="shared" si="57"/>
        <v>3366</v>
      </c>
      <c r="J117" s="1793"/>
      <c r="K117" s="1793">
        <v>3366</v>
      </c>
      <c r="L117" s="1793"/>
      <c r="M117" s="1793"/>
      <c r="N117" s="1848"/>
      <c r="O117" s="1849">
        <f t="shared" si="46"/>
        <v>0.99175014731879785</v>
      </c>
    </row>
    <row r="118" spans="1:15" ht="12.75">
      <c r="A118" s="2353"/>
      <c r="B118" s="2406"/>
      <c r="C118" s="2391"/>
      <c r="D118" s="1836" t="s">
        <v>587</v>
      </c>
      <c r="E118" s="1837">
        <v>7500</v>
      </c>
      <c r="F118" s="1837">
        <v>5254</v>
      </c>
      <c r="G118" s="1793">
        <f t="shared" si="55"/>
        <v>4904</v>
      </c>
      <c r="H118" s="1793">
        <f t="shared" si="56"/>
        <v>4904</v>
      </c>
      <c r="I118" s="1793">
        <f t="shared" si="57"/>
        <v>4904</v>
      </c>
      <c r="J118" s="1838"/>
      <c r="K118" s="1838">
        <v>4904</v>
      </c>
      <c r="L118" s="1838"/>
      <c r="M118" s="1838"/>
      <c r="N118" s="1845"/>
      <c r="O118" s="1849">
        <f t="shared" si="46"/>
        <v>0.93338408831366582</v>
      </c>
    </row>
    <row r="119" spans="1:15" ht="12.75">
      <c r="A119" s="2353"/>
      <c r="B119" s="2406"/>
      <c r="C119" s="2391"/>
      <c r="D119" s="1836" t="s">
        <v>589</v>
      </c>
      <c r="E119" s="1837"/>
      <c r="F119" s="1837">
        <v>2518</v>
      </c>
      <c r="G119" s="1793">
        <f t="shared" si="55"/>
        <v>2515</v>
      </c>
      <c r="H119" s="1793">
        <f t="shared" si="56"/>
        <v>2515</v>
      </c>
      <c r="I119" s="1793">
        <f t="shared" si="57"/>
        <v>2515</v>
      </c>
      <c r="J119" s="1838"/>
      <c r="K119" s="1838">
        <v>2515</v>
      </c>
      <c r="L119" s="1838"/>
      <c r="M119" s="1838"/>
      <c r="N119" s="1845"/>
      <c r="O119" s="1849">
        <f t="shared" si="46"/>
        <v>0.99880857823669578</v>
      </c>
    </row>
    <row r="120" spans="1:15" ht="12.75">
      <c r="A120" s="2353"/>
      <c r="B120" s="2406"/>
      <c r="C120" s="2391"/>
      <c r="D120" s="1836" t="s">
        <v>591</v>
      </c>
      <c r="E120" s="1837">
        <v>21939</v>
      </c>
      <c r="F120" s="1837">
        <v>23496</v>
      </c>
      <c r="G120" s="1793">
        <f t="shared" si="55"/>
        <v>23485</v>
      </c>
      <c r="H120" s="1793">
        <f t="shared" si="56"/>
        <v>23485</v>
      </c>
      <c r="I120" s="1793">
        <f t="shared" si="57"/>
        <v>23485</v>
      </c>
      <c r="J120" s="1838"/>
      <c r="K120" s="1838">
        <v>23485</v>
      </c>
      <c r="L120" s="1838"/>
      <c r="M120" s="1838"/>
      <c r="N120" s="1845"/>
      <c r="O120" s="1849">
        <f t="shared" si="46"/>
        <v>0.99953183520599254</v>
      </c>
    </row>
    <row r="121" spans="1:15" ht="12.75">
      <c r="A121" s="2353"/>
      <c r="B121" s="2406"/>
      <c r="C121" s="2391"/>
      <c r="D121" s="1836" t="s">
        <v>593</v>
      </c>
      <c r="E121" s="1837">
        <v>1500</v>
      </c>
      <c r="F121" s="1837">
        <v>1605</v>
      </c>
      <c r="G121" s="1793">
        <f t="shared" si="55"/>
        <v>1605</v>
      </c>
      <c r="H121" s="1793">
        <f t="shared" si="56"/>
        <v>1605</v>
      </c>
      <c r="I121" s="1793">
        <f t="shared" si="57"/>
        <v>1605</v>
      </c>
      <c r="J121" s="1838"/>
      <c r="K121" s="1838">
        <v>1605</v>
      </c>
      <c r="L121" s="1838"/>
      <c r="M121" s="1838"/>
      <c r="N121" s="1845"/>
      <c r="O121" s="1849">
        <f t="shared" si="46"/>
        <v>1</v>
      </c>
    </row>
    <row r="122" spans="1:15" ht="12.75">
      <c r="A122" s="2353"/>
      <c r="B122" s="2406"/>
      <c r="C122" s="2391"/>
      <c r="D122" s="1836" t="s">
        <v>597</v>
      </c>
      <c r="E122" s="1837">
        <v>4828</v>
      </c>
      <c r="F122" s="1837">
        <v>4052</v>
      </c>
      <c r="G122" s="1793">
        <f t="shared" si="55"/>
        <v>4052</v>
      </c>
      <c r="H122" s="1793">
        <f t="shared" si="56"/>
        <v>4052</v>
      </c>
      <c r="I122" s="1793">
        <f t="shared" si="57"/>
        <v>4052</v>
      </c>
      <c r="J122" s="1838"/>
      <c r="K122" s="1838">
        <v>4052</v>
      </c>
      <c r="L122" s="1838"/>
      <c r="M122" s="1838"/>
      <c r="N122" s="1845"/>
      <c r="O122" s="1849">
        <f t="shared" si="46"/>
        <v>1</v>
      </c>
    </row>
    <row r="123" spans="1:15" ht="13.5" thickBot="1">
      <c r="A123" s="2404"/>
      <c r="B123" s="2406"/>
      <c r="C123" s="2391"/>
      <c r="D123" s="1836" t="s">
        <v>148</v>
      </c>
      <c r="E123" s="1837">
        <v>2500</v>
      </c>
      <c r="F123" s="1837">
        <v>6655</v>
      </c>
      <c r="G123" s="1793">
        <f t="shared" si="55"/>
        <v>6655</v>
      </c>
      <c r="H123" s="1793">
        <f t="shared" si="56"/>
        <v>6655</v>
      </c>
      <c r="I123" s="1793">
        <f t="shared" si="57"/>
        <v>6655</v>
      </c>
      <c r="J123" s="1838"/>
      <c r="K123" s="1838">
        <v>6655</v>
      </c>
      <c r="L123" s="1838"/>
      <c r="M123" s="1838"/>
      <c r="N123" s="1845"/>
      <c r="O123" s="1849">
        <f t="shared" si="46"/>
        <v>1</v>
      </c>
    </row>
    <row r="124" spans="1:15" ht="35.1" customHeight="1" thickBot="1">
      <c r="A124" s="2398" t="s">
        <v>96</v>
      </c>
      <c r="B124" s="2399"/>
      <c r="C124" s="2399"/>
      <c r="D124" s="1862"/>
      <c r="E124" s="1863">
        <f>SUM(E7,E30,E45,E55,E89,E102,E85,E97,E39,E76)</f>
        <v>66434000</v>
      </c>
      <c r="F124" s="1863">
        <f>SUM(F7,F30,F45,F55,F89,F102,F85,F97,F39,F76)</f>
        <v>65149972</v>
      </c>
      <c r="G124" s="1863">
        <f>SUM(G7,G30,G39,G45,G55,G76,G85,G89,G97,G102)</f>
        <v>59929832.390000001</v>
      </c>
      <c r="H124" s="1863">
        <f>SUM(H7,H30,H39,H45,H55,H76,H85,H89,H97,H102)</f>
        <v>59207885.390000001</v>
      </c>
      <c r="I124" s="1863">
        <f>SUM(I7,I30,I39,I45,I55,I76,I85,I89,I97,I102)</f>
        <v>7470595.3900000006</v>
      </c>
      <c r="J124" s="1863">
        <f>SUM(J7,J30,J39,J45,J55,J76,J85,J89,J97,J102)</f>
        <v>2833608</v>
      </c>
      <c r="K124" s="1863">
        <f>SUM(K7,K30,K39,K45,K55,K76,K85,K89,K97,K102)</f>
        <v>4636987.3900000006</v>
      </c>
      <c r="L124" s="1863">
        <f t="shared" ref="L124:N124" si="58">SUM(L7,L30,L39,L45,L55,L76,L85,L89,L97,L102)</f>
        <v>51731822</v>
      </c>
      <c r="M124" s="1863">
        <f t="shared" si="58"/>
        <v>5468</v>
      </c>
      <c r="N124" s="1863">
        <f t="shared" si="58"/>
        <v>721947</v>
      </c>
      <c r="O124" s="1864">
        <f t="shared" si="46"/>
        <v>0.91987502910975927</v>
      </c>
    </row>
    <row r="125" spans="1:15" ht="12.75">
      <c r="A125" s="1865"/>
      <c r="B125" s="1866"/>
      <c r="E125" s="1867"/>
      <c r="F125" s="1867"/>
      <c r="G125" s="1867">
        <f>H125+N125</f>
        <v>59929832.020000003</v>
      </c>
      <c r="H125" s="1867">
        <f>I125+L125+M125</f>
        <v>59207884.590000004</v>
      </c>
      <c r="I125" s="1867">
        <f>J125+K125</f>
        <v>7470594.54</v>
      </c>
      <c r="J125" s="1868">
        <f>2188705.16+644902.45</f>
        <v>2833607.6100000003</v>
      </c>
      <c r="K125" s="1868">
        <v>4636986.93</v>
      </c>
      <c r="L125" s="1867">
        <v>51731821.850000001</v>
      </c>
      <c r="M125" s="1867">
        <v>5468.2</v>
      </c>
      <c r="N125" s="1867">
        <v>721947.43</v>
      </c>
      <c r="O125" s="1867"/>
    </row>
    <row r="126" spans="1:15" ht="12.75">
      <c r="A126" s="1865"/>
      <c r="B126" s="1866"/>
      <c r="G126" s="1826"/>
      <c r="H126" s="1826">
        <f>SUM(I124,L124,M124)</f>
        <v>59207885.390000001</v>
      </c>
      <c r="I126" s="1826">
        <f>SUM(J124:K124)</f>
        <v>7470595.3900000006</v>
      </c>
      <c r="J126" s="1826"/>
      <c r="K126" s="1826"/>
      <c r="L126" s="1826"/>
      <c r="M126" s="1826"/>
      <c r="N126" s="1826"/>
    </row>
    <row r="127" spans="1:15" ht="12.75">
      <c r="A127" s="1865"/>
      <c r="B127" s="1866"/>
      <c r="G127" s="1826">
        <f>SUM(N124,H124)</f>
        <v>59929832.390000001</v>
      </c>
      <c r="H127" s="1826"/>
      <c r="I127" s="1826"/>
      <c r="J127" s="1826"/>
      <c r="K127" s="1867"/>
      <c r="L127" s="1826"/>
      <c r="M127" s="1826"/>
      <c r="N127" s="1826"/>
    </row>
    <row r="128" spans="1:15" ht="12.75">
      <c r="A128" s="1865"/>
      <c r="B128" s="1866"/>
      <c r="G128" s="1826"/>
      <c r="H128" s="1826"/>
      <c r="I128" s="1826"/>
      <c r="J128" s="1826"/>
      <c r="K128" s="1826"/>
      <c r="L128" s="1826"/>
      <c r="M128" s="1826"/>
      <c r="N128" s="1826"/>
    </row>
    <row r="129" spans="1:14" ht="12.75">
      <c r="A129" s="1865"/>
      <c r="B129" s="1866"/>
      <c r="G129" s="1826">
        <f>SUM(H124,N124)</f>
        <v>59929832.390000001</v>
      </c>
      <c r="H129" s="1826"/>
      <c r="I129" s="1826"/>
      <c r="J129" s="1826"/>
      <c r="K129" s="1867"/>
      <c r="L129" s="1826"/>
      <c r="M129" s="1826"/>
      <c r="N129" s="1826"/>
    </row>
    <row r="130" spans="1:14" ht="12.75">
      <c r="A130" s="2400"/>
      <c r="B130" s="2401"/>
      <c r="C130" s="2401"/>
      <c r="D130" s="2401"/>
      <c r="E130" s="2401"/>
      <c r="F130" s="2401"/>
      <c r="G130" s="2401"/>
      <c r="H130" s="2401"/>
      <c r="I130" s="2401"/>
      <c r="J130" s="2401"/>
      <c r="K130" s="2401"/>
      <c r="L130" s="2401"/>
      <c r="M130" s="2401"/>
      <c r="N130" s="2401"/>
    </row>
    <row r="131" spans="1:14" ht="12.75">
      <c r="A131" s="1865"/>
      <c r="B131" s="1866"/>
      <c r="H131" s="1826"/>
      <c r="I131" s="1826"/>
      <c r="J131" s="1826"/>
      <c r="K131" s="1826"/>
      <c r="L131" s="1826"/>
      <c r="M131" s="1826"/>
      <c r="N131" s="1826"/>
    </row>
    <row r="132" spans="1:14" ht="12.75">
      <c r="A132" s="1865"/>
      <c r="B132" s="1866"/>
      <c r="G132" s="1826"/>
      <c r="H132" s="1826"/>
      <c r="I132" s="1826"/>
      <c r="J132" s="1826"/>
      <c r="K132" s="1826"/>
      <c r="L132" s="1826"/>
      <c r="M132" s="1826"/>
      <c r="N132" s="1826"/>
    </row>
    <row r="133" spans="1:14" ht="12.75">
      <c r="A133" s="1865"/>
      <c r="B133" s="1866"/>
      <c r="H133" s="1826"/>
      <c r="I133" s="1826"/>
      <c r="J133" s="1826"/>
      <c r="K133" s="1826"/>
      <c r="L133" s="1826"/>
      <c r="M133" s="1826"/>
      <c r="N133" s="1826"/>
    </row>
    <row r="134" spans="1:14" ht="12.75">
      <c r="A134" s="1865"/>
      <c r="B134" s="1866"/>
      <c r="H134" s="1826"/>
      <c r="I134" s="1826"/>
      <c r="J134" s="1826"/>
      <c r="K134" s="1826"/>
      <c r="L134" s="1826"/>
      <c r="M134" s="1826"/>
      <c r="N134" s="1826"/>
    </row>
    <row r="135" spans="1:14" ht="12.75">
      <c r="A135" s="1865"/>
      <c r="B135" s="1866"/>
      <c r="H135" s="1826"/>
      <c r="I135" s="1826"/>
      <c r="J135" s="1826"/>
      <c r="K135" s="1826"/>
      <c r="L135" s="1826"/>
      <c r="M135" s="1826"/>
      <c r="N135" s="1826"/>
    </row>
    <row r="136" spans="1:14" ht="12.75">
      <c r="A136" s="1865"/>
      <c r="B136" s="1866"/>
      <c r="H136" s="1826"/>
      <c r="I136" s="1826"/>
      <c r="J136" s="1826"/>
      <c r="K136" s="1826"/>
      <c r="L136" s="1826"/>
      <c r="M136" s="1826"/>
      <c r="N136" s="1826"/>
    </row>
    <row r="137" spans="1:14" ht="12.75">
      <c r="A137" s="1865"/>
      <c r="B137" s="1866"/>
      <c r="H137" s="1826"/>
      <c r="I137" s="1826"/>
      <c r="J137" s="1826"/>
      <c r="K137" s="1826"/>
      <c r="L137" s="1826"/>
      <c r="M137" s="1826"/>
      <c r="N137" s="1826"/>
    </row>
    <row r="138" spans="1:14" ht="12.75">
      <c r="A138" s="1869"/>
      <c r="B138" s="1866"/>
      <c r="H138" s="1826"/>
      <c r="I138" s="1826"/>
      <c r="J138" s="1826"/>
      <c r="K138" s="1826"/>
      <c r="L138" s="1826"/>
      <c r="M138" s="1826"/>
      <c r="N138" s="1826"/>
    </row>
    <row r="139" spans="1:14" ht="12.75">
      <c r="A139" s="1869"/>
      <c r="B139" s="1866"/>
      <c r="H139" s="1826"/>
      <c r="I139" s="1826"/>
      <c r="J139" s="1826"/>
      <c r="K139" s="1826"/>
      <c r="L139" s="1826"/>
      <c r="M139" s="1826"/>
      <c r="N139" s="1826"/>
    </row>
    <row r="140" spans="1:14" ht="12.75">
      <c r="A140" s="1869"/>
      <c r="B140" s="1866"/>
      <c r="H140" s="1826"/>
      <c r="I140" s="1826"/>
      <c r="J140" s="1826"/>
      <c r="K140" s="1826"/>
      <c r="L140" s="1826"/>
      <c r="M140" s="1826"/>
      <c r="N140" s="1826"/>
    </row>
    <row r="141" spans="1:14" ht="12.75">
      <c r="A141" s="1869"/>
      <c r="B141" s="1866"/>
      <c r="H141" s="1826"/>
      <c r="I141" s="1826"/>
      <c r="J141" s="1826"/>
      <c r="K141" s="1826"/>
      <c r="L141" s="1826"/>
      <c r="M141" s="1826"/>
      <c r="N141" s="1826"/>
    </row>
    <row r="142" spans="1:14" ht="12.75">
      <c r="A142" s="1869"/>
      <c r="B142" s="1866"/>
      <c r="H142" s="1826"/>
      <c r="I142" s="1826"/>
      <c r="J142" s="1826"/>
      <c r="K142" s="1826"/>
      <c r="L142" s="1826"/>
      <c r="M142" s="1826"/>
      <c r="N142" s="1826"/>
    </row>
    <row r="143" spans="1:14" ht="12.75">
      <c r="A143" s="1869"/>
      <c r="B143" s="1866"/>
      <c r="H143" s="1826"/>
      <c r="I143" s="1826"/>
      <c r="J143" s="1826"/>
      <c r="K143" s="1826"/>
      <c r="L143" s="1826"/>
      <c r="M143" s="1826"/>
      <c r="N143" s="1826"/>
    </row>
    <row r="144" spans="1:14" ht="12.75">
      <c r="A144" s="1869"/>
      <c r="B144" s="1866"/>
      <c r="H144" s="1826"/>
      <c r="I144" s="1826"/>
      <c r="J144" s="1826"/>
      <c r="K144" s="1826"/>
      <c r="L144" s="1826"/>
      <c r="M144" s="1826"/>
      <c r="N144" s="1826"/>
    </row>
    <row r="145" spans="1:15" ht="12.75">
      <c r="A145" s="1869"/>
      <c r="B145" s="1866"/>
      <c r="H145" s="1826"/>
      <c r="I145" s="1826"/>
      <c r="J145" s="1826"/>
      <c r="K145" s="1826"/>
      <c r="L145" s="1826"/>
      <c r="M145" s="1826"/>
      <c r="N145" s="1826"/>
    </row>
    <row r="146" spans="1:15" ht="12.75">
      <c r="A146" s="1869"/>
      <c r="B146" s="1866"/>
      <c r="H146" s="1826"/>
      <c r="I146" s="1826"/>
      <c r="J146" s="1826"/>
      <c r="K146" s="1826"/>
      <c r="L146" s="1826"/>
      <c r="M146" s="1826"/>
      <c r="N146" s="1826"/>
    </row>
    <row r="147" spans="1:15" ht="12.75">
      <c r="A147" s="1869"/>
      <c r="B147" s="1866"/>
      <c r="H147" s="1826"/>
      <c r="I147" s="1826"/>
      <c r="J147" s="1826"/>
      <c r="K147" s="1826"/>
      <c r="L147" s="1826"/>
      <c r="M147" s="1826"/>
      <c r="N147" s="1826"/>
    </row>
    <row r="148" spans="1:15" ht="12.75">
      <c r="A148" s="1869"/>
      <c r="B148" s="1866"/>
      <c r="H148" s="1826"/>
      <c r="I148" s="1826"/>
      <c r="J148" s="1826"/>
      <c r="K148" s="1826"/>
      <c r="L148" s="1826"/>
      <c r="M148" s="1826"/>
      <c r="N148" s="1826"/>
    </row>
    <row r="149" spans="1:15" ht="12.75">
      <c r="A149" s="1869"/>
      <c r="B149" s="1866"/>
      <c r="H149" s="1826"/>
      <c r="I149" s="1826"/>
      <c r="J149" s="1826"/>
      <c r="K149" s="1826"/>
      <c r="L149" s="1826"/>
      <c r="M149" s="1826"/>
      <c r="N149" s="1826"/>
    </row>
    <row r="150" spans="1:15" ht="12.75">
      <c r="A150" s="1869"/>
      <c r="B150" s="1866"/>
      <c r="H150" s="1826"/>
      <c r="I150" s="1826"/>
      <c r="J150" s="1826"/>
      <c r="K150" s="1826"/>
      <c r="L150" s="1826"/>
      <c r="M150" s="1826"/>
      <c r="N150" s="1826"/>
    </row>
    <row r="151" spans="1:15" ht="12.75">
      <c r="A151" s="1869"/>
      <c r="B151" s="1866"/>
      <c r="H151" s="1826"/>
      <c r="I151" s="1826"/>
      <c r="J151" s="1826"/>
      <c r="K151" s="1826"/>
      <c r="L151" s="1826"/>
      <c r="M151" s="1826"/>
      <c r="N151" s="1826"/>
    </row>
    <row r="152" spans="1:15" ht="12.75">
      <c r="A152" s="1869"/>
      <c r="B152" s="1866"/>
      <c r="H152" s="1826"/>
      <c r="I152" s="1826"/>
      <c r="J152" s="1826"/>
      <c r="K152" s="1826"/>
      <c r="L152" s="1826"/>
      <c r="M152" s="1826"/>
      <c r="N152" s="1826"/>
    </row>
    <row r="153" spans="1:15" ht="12.75">
      <c r="A153" s="1869"/>
      <c r="B153" s="1866"/>
      <c r="H153" s="1826"/>
      <c r="I153" s="1826"/>
      <c r="J153" s="1826"/>
      <c r="K153" s="1826"/>
      <c r="L153" s="1826"/>
      <c r="M153" s="1826"/>
      <c r="N153" s="1826"/>
    </row>
    <row r="154" spans="1:15" ht="12.75">
      <c r="A154" s="1869"/>
    </row>
    <row r="155" spans="1:15" ht="12.75">
      <c r="A155" s="1869"/>
    </row>
    <row r="156" spans="1:15" ht="12.75">
      <c r="A156" s="1869"/>
    </row>
    <row r="157" spans="1:15" ht="12.75">
      <c r="A157" s="1869"/>
    </row>
    <row r="158" spans="1:15" ht="12.75">
      <c r="A158" s="1869"/>
    </row>
    <row r="159" spans="1:15" s="1870" customFormat="1" ht="12.75">
      <c r="A159" s="1869"/>
      <c r="C159" s="1813"/>
      <c r="D159" s="1813"/>
      <c r="E159" s="1813"/>
      <c r="F159" s="1813"/>
      <c r="G159" s="1813"/>
      <c r="H159" s="1813"/>
      <c r="I159" s="1813"/>
      <c r="J159" s="1813"/>
      <c r="K159" s="1813"/>
      <c r="L159" s="1813"/>
      <c r="M159" s="1813"/>
      <c r="N159" s="1813"/>
      <c r="O159" s="1813"/>
    </row>
    <row r="160" spans="1:15" s="1870" customFormat="1" ht="12.75">
      <c r="A160" s="1869"/>
      <c r="C160" s="1813"/>
      <c r="D160" s="1813"/>
      <c r="E160" s="1813"/>
      <c r="F160" s="1813"/>
      <c r="G160" s="1813"/>
      <c r="H160" s="1813"/>
      <c r="I160" s="1813"/>
      <c r="J160" s="1813"/>
      <c r="K160" s="1813"/>
      <c r="L160" s="1813"/>
      <c r="M160" s="1813"/>
      <c r="N160" s="1813"/>
      <c r="O160" s="1813"/>
    </row>
    <row r="161" spans="1:15" s="1870" customFormat="1" ht="12.75">
      <c r="A161" s="1869"/>
      <c r="C161" s="1813"/>
      <c r="D161" s="1813"/>
      <c r="E161" s="1813"/>
      <c r="F161" s="1813"/>
      <c r="G161" s="1813"/>
      <c r="H161" s="1813"/>
      <c r="I161" s="1813"/>
      <c r="J161" s="1813"/>
      <c r="K161" s="1813"/>
      <c r="L161" s="1813"/>
      <c r="M161" s="1813"/>
      <c r="N161" s="1813"/>
      <c r="O161" s="1813"/>
    </row>
    <row r="162" spans="1:15" s="1870" customFormat="1" ht="12.75">
      <c r="A162" s="1869"/>
      <c r="C162" s="1813"/>
      <c r="D162" s="1813"/>
      <c r="E162" s="1813"/>
      <c r="F162" s="1813"/>
      <c r="G162" s="1813"/>
      <c r="H162" s="1813"/>
      <c r="I162" s="1813"/>
      <c r="J162" s="1813"/>
      <c r="K162" s="1813"/>
      <c r="L162" s="1813"/>
      <c r="M162" s="1813"/>
      <c r="N162" s="1813"/>
      <c r="O162" s="1813"/>
    </row>
    <row r="163" spans="1:15" s="1870" customFormat="1" ht="12.75">
      <c r="A163" s="1869"/>
      <c r="C163" s="1813"/>
      <c r="D163" s="1813"/>
      <c r="E163" s="1813"/>
      <c r="F163" s="1813"/>
      <c r="G163" s="1813"/>
      <c r="H163" s="1813"/>
      <c r="I163" s="1813"/>
      <c r="J163" s="1813"/>
      <c r="K163" s="1813"/>
      <c r="L163" s="1813"/>
      <c r="M163" s="1813"/>
      <c r="N163" s="1813"/>
      <c r="O163" s="1813"/>
    </row>
    <row r="164" spans="1:15" s="1870" customFormat="1" ht="12.75">
      <c r="A164" s="1869"/>
      <c r="C164" s="1813"/>
      <c r="D164" s="1813"/>
      <c r="E164" s="1813"/>
      <c r="F164" s="1813"/>
      <c r="G164" s="1813"/>
      <c r="H164" s="1813"/>
      <c r="I164" s="1813"/>
      <c r="J164" s="1813"/>
      <c r="K164" s="1813"/>
      <c r="L164" s="1813"/>
      <c r="M164" s="1813"/>
      <c r="N164" s="1813"/>
      <c r="O164" s="1813"/>
    </row>
    <row r="165" spans="1:15" s="1870" customFormat="1" ht="12.75">
      <c r="A165" s="1869"/>
      <c r="C165" s="1813"/>
      <c r="D165" s="1813"/>
      <c r="E165" s="1813"/>
      <c r="F165" s="1813"/>
      <c r="G165" s="1813"/>
      <c r="H165" s="1813"/>
      <c r="I165" s="1813"/>
      <c r="J165" s="1813"/>
      <c r="K165" s="1813"/>
      <c r="L165" s="1813"/>
      <c r="M165" s="1813"/>
      <c r="N165" s="1813"/>
      <c r="O165" s="1813"/>
    </row>
    <row r="166" spans="1:15" s="1870" customFormat="1" ht="12.75">
      <c r="A166" s="1869"/>
      <c r="C166" s="1813"/>
      <c r="D166" s="1813"/>
      <c r="E166" s="1813"/>
      <c r="F166" s="1813"/>
      <c r="G166" s="1813"/>
      <c r="H166" s="1813"/>
      <c r="I166" s="1813"/>
      <c r="J166" s="1813"/>
      <c r="K166" s="1813"/>
      <c r="L166" s="1813"/>
      <c r="M166" s="1813"/>
      <c r="N166" s="1813"/>
      <c r="O166" s="1813"/>
    </row>
    <row r="167" spans="1:15" s="1870" customFormat="1" ht="12.75">
      <c r="A167" s="1869"/>
      <c r="C167" s="1813"/>
      <c r="D167" s="1813"/>
      <c r="E167" s="1813"/>
      <c r="F167" s="1813"/>
      <c r="G167" s="1813"/>
      <c r="H167" s="1813"/>
      <c r="I167" s="1813"/>
      <c r="J167" s="1813"/>
      <c r="K167" s="1813"/>
      <c r="L167" s="1813"/>
      <c r="M167" s="1813"/>
      <c r="N167" s="1813"/>
      <c r="O167" s="1813"/>
    </row>
    <row r="168" spans="1:15" s="1870" customFormat="1" ht="12.75">
      <c r="A168" s="1869"/>
      <c r="C168" s="1813"/>
      <c r="D168" s="1813"/>
      <c r="E168" s="1813"/>
      <c r="F168" s="1813"/>
      <c r="G168" s="1813"/>
      <c r="H168" s="1813"/>
      <c r="I168" s="1813"/>
      <c r="J168" s="1813"/>
      <c r="K168" s="1813"/>
      <c r="L168" s="1813"/>
      <c r="M168" s="1813"/>
      <c r="N168" s="1813"/>
      <c r="O168" s="1813"/>
    </row>
    <row r="169" spans="1:15" s="1870" customFormat="1" ht="12.75">
      <c r="A169" s="1869"/>
      <c r="C169" s="1813"/>
      <c r="D169" s="1813"/>
      <c r="E169" s="1813"/>
      <c r="F169" s="1813"/>
      <c r="G169" s="1813"/>
      <c r="H169" s="1813"/>
      <c r="I169" s="1813"/>
      <c r="J169" s="1813"/>
      <c r="K169" s="1813"/>
      <c r="L169" s="1813"/>
      <c r="M169" s="1813"/>
      <c r="N169" s="1813"/>
      <c r="O169" s="1813"/>
    </row>
    <row r="170" spans="1:15" s="1870" customFormat="1" ht="12.75">
      <c r="A170" s="1869"/>
      <c r="C170" s="1813"/>
      <c r="D170" s="1813"/>
      <c r="E170" s="1813"/>
      <c r="F170" s="1813"/>
      <c r="G170" s="1813"/>
      <c r="H170" s="1813"/>
      <c r="I170" s="1813"/>
      <c r="J170" s="1813"/>
      <c r="K170" s="1813"/>
      <c r="L170" s="1813"/>
      <c r="M170" s="1813"/>
      <c r="N170" s="1813"/>
      <c r="O170" s="1813"/>
    </row>
    <row r="171" spans="1:15" s="1870" customFormat="1" ht="12.75">
      <c r="A171" s="1869"/>
      <c r="C171" s="1813"/>
      <c r="D171" s="1813"/>
      <c r="E171" s="1813"/>
      <c r="F171" s="1813"/>
      <c r="G171" s="1813"/>
      <c r="H171" s="1813"/>
      <c r="I171" s="1813"/>
      <c r="J171" s="1813"/>
      <c r="K171" s="1813"/>
      <c r="L171" s="1813"/>
      <c r="M171" s="1813"/>
      <c r="N171" s="1813"/>
      <c r="O171" s="1813"/>
    </row>
    <row r="172" spans="1:15" s="1870" customFormat="1" ht="12.75">
      <c r="A172" s="1869"/>
      <c r="C172" s="1813"/>
      <c r="D172" s="1813"/>
      <c r="E172" s="1813"/>
      <c r="F172" s="1813"/>
      <c r="G172" s="1813"/>
      <c r="H172" s="1813"/>
      <c r="I172" s="1813"/>
      <c r="J172" s="1813"/>
      <c r="K172" s="1813"/>
      <c r="L172" s="1813"/>
      <c r="M172" s="1813"/>
      <c r="N172" s="1813"/>
      <c r="O172" s="1813"/>
    </row>
    <row r="173" spans="1:15" s="1870" customFormat="1" ht="12.75">
      <c r="A173" s="1869"/>
      <c r="C173" s="1813"/>
      <c r="D173" s="1813"/>
      <c r="E173" s="1813"/>
      <c r="F173" s="1813"/>
      <c r="G173" s="1813"/>
      <c r="H173" s="1813"/>
      <c r="I173" s="1813"/>
      <c r="J173" s="1813"/>
      <c r="K173" s="1813"/>
      <c r="L173" s="1813"/>
      <c r="M173" s="1813"/>
      <c r="N173" s="1813"/>
      <c r="O173" s="1813"/>
    </row>
    <row r="174" spans="1:15" s="1870" customFormat="1" ht="12.75">
      <c r="A174" s="1869"/>
      <c r="C174" s="1813"/>
      <c r="D174" s="1813"/>
      <c r="E174" s="1813"/>
      <c r="F174" s="1813"/>
      <c r="G174" s="1813"/>
      <c r="H174" s="1813"/>
      <c r="I174" s="1813"/>
      <c r="J174" s="1813"/>
      <c r="K174" s="1813"/>
      <c r="L174" s="1813"/>
      <c r="M174" s="1813"/>
      <c r="N174" s="1813"/>
      <c r="O174" s="1813"/>
    </row>
    <row r="175" spans="1:15" s="1870" customFormat="1" ht="12.75">
      <c r="A175" s="1869"/>
      <c r="C175" s="1813"/>
      <c r="D175" s="1813"/>
      <c r="E175" s="1813"/>
      <c r="F175" s="1813"/>
      <c r="G175" s="1813"/>
      <c r="H175" s="1813"/>
      <c r="I175" s="1813"/>
      <c r="J175" s="1813"/>
      <c r="K175" s="1813"/>
      <c r="L175" s="1813"/>
      <c r="M175" s="1813"/>
      <c r="N175" s="1813"/>
      <c r="O175" s="1813"/>
    </row>
    <row r="176" spans="1:15" s="1870" customFormat="1" ht="12.75">
      <c r="A176" s="1869"/>
      <c r="C176" s="1813"/>
      <c r="D176" s="1813"/>
      <c r="E176" s="1813"/>
      <c r="F176" s="1813"/>
      <c r="G176" s="1813"/>
      <c r="H176" s="1813"/>
      <c r="I176" s="1813"/>
      <c r="J176" s="1813"/>
      <c r="K176" s="1813"/>
      <c r="L176" s="1813"/>
      <c r="M176" s="1813"/>
      <c r="N176" s="1813"/>
      <c r="O176" s="1813"/>
    </row>
    <row r="177" spans="1:15" s="1870" customFormat="1" ht="12.75">
      <c r="A177" s="1869"/>
      <c r="C177" s="1813"/>
      <c r="D177" s="1813"/>
      <c r="E177" s="1813"/>
      <c r="F177" s="1813"/>
      <c r="G177" s="1813"/>
      <c r="H177" s="1813"/>
      <c r="I177" s="1813"/>
      <c r="J177" s="1813"/>
      <c r="K177" s="1813"/>
      <c r="L177" s="1813"/>
      <c r="M177" s="1813"/>
      <c r="N177" s="1813"/>
      <c r="O177" s="1813"/>
    </row>
    <row r="178" spans="1:15" s="1870" customFormat="1" ht="12.75">
      <c r="A178" s="1869"/>
      <c r="C178" s="1813"/>
      <c r="D178" s="1813"/>
      <c r="E178" s="1813"/>
      <c r="F178" s="1813"/>
      <c r="G178" s="1813"/>
      <c r="H178" s="1813"/>
      <c r="I178" s="1813"/>
      <c r="J178" s="1813"/>
      <c r="K178" s="1813"/>
      <c r="L178" s="1813"/>
      <c r="M178" s="1813"/>
      <c r="N178" s="1813"/>
      <c r="O178" s="1813"/>
    </row>
    <row r="179" spans="1:15" s="1870" customFormat="1" ht="12.75">
      <c r="A179" s="1869"/>
      <c r="C179" s="1813"/>
      <c r="D179" s="1813"/>
      <c r="E179" s="1813"/>
      <c r="F179" s="1813"/>
      <c r="G179" s="1813"/>
      <c r="H179" s="1813"/>
      <c r="I179" s="1813"/>
      <c r="J179" s="1813"/>
      <c r="K179" s="1813"/>
      <c r="L179" s="1813"/>
      <c r="M179" s="1813"/>
      <c r="N179" s="1813"/>
      <c r="O179" s="1813"/>
    </row>
    <row r="180" spans="1:15" s="1870" customFormat="1" ht="12.75">
      <c r="A180" s="1869"/>
      <c r="C180" s="1813"/>
      <c r="D180" s="1813"/>
      <c r="E180" s="1813"/>
      <c r="F180" s="1813"/>
      <c r="G180" s="1813"/>
      <c r="H180" s="1813"/>
      <c r="I180" s="1813"/>
      <c r="J180" s="1813"/>
      <c r="K180" s="1813"/>
      <c r="L180" s="1813"/>
      <c r="M180" s="1813"/>
      <c r="N180" s="1813"/>
      <c r="O180" s="1813"/>
    </row>
    <row r="181" spans="1:15" s="1870" customFormat="1" ht="12.75">
      <c r="A181" s="1869"/>
      <c r="C181" s="1813"/>
      <c r="D181" s="1813"/>
      <c r="E181" s="1813"/>
      <c r="F181" s="1813"/>
      <c r="G181" s="1813"/>
      <c r="H181" s="1813"/>
      <c r="I181" s="1813"/>
      <c r="J181" s="1813"/>
      <c r="K181" s="1813"/>
      <c r="L181" s="1813"/>
      <c r="M181" s="1813"/>
      <c r="N181" s="1813"/>
      <c r="O181" s="1813"/>
    </row>
    <row r="182" spans="1:15" s="1870" customFormat="1" ht="12.75">
      <c r="A182" s="1869"/>
      <c r="C182" s="1813"/>
      <c r="D182" s="1813"/>
      <c r="E182" s="1813"/>
      <c r="F182" s="1813"/>
      <c r="G182" s="1813"/>
      <c r="H182" s="1813"/>
      <c r="I182" s="1813"/>
      <c r="J182" s="1813"/>
      <c r="K182" s="1813"/>
      <c r="L182" s="1813"/>
      <c r="M182" s="1813"/>
      <c r="N182" s="1813"/>
      <c r="O182" s="1813"/>
    </row>
    <row r="183" spans="1:15" s="1870" customFormat="1" ht="12.75">
      <c r="A183" s="1869"/>
      <c r="C183" s="1813"/>
      <c r="D183" s="1813"/>
      <c r="E183" s="1813"/>
      <c r="F183" s="1813"/>
      <c r="G183" s="1813"/>
      <c r="H183" s="1813"/>
      <c r="I183" s="1813"/>
      <c r="J183" s="1813"/>
      <c r="K183" s="1813"/>
      <c r="L183" s="1813"/>
      <c r="M183" s="1813"/>
      <c r="N183" s="1813"/>
      <c r="O183" s="1813"/>
    </row>
    <row r="184" spans="1:15" s="1870" customFormat="1" ht="12.75">
      <c r="A184" s="1869"/>
      <c r="C184" s="1813"/>
      <c r="D184" s="1813"/>
      <c r="E184" s="1813"/>
      <c r="F184" s="1813"/>
      <c r="G184" s="1813"/>
      <c r="H184" s="1813"/>
      <c r="I184" s="1813"/>
      <c r="J184" s="1813"/>
      <c r="K184" s="1813"/>
      <c r="L184" s="1813"/>
      <c r="M184" s="1813"/>
      <c r="N184" s="1813"/>
      <c r="O184" s="1813"/>
    </row>
    <row r="185" spans="1:15" s="1870" customFormat="1" ht="12.75">
      <c r="A185" s="1869"/>
      <c r="C185" s="1813"/>
      <c r="D185" s="1813"/>
      <c r="E185" s="1813"/>
      <c r="F185" s="1813"/>
      <c r="G185" s="1813"/>
      <c r="H185" s="1813"/>
      <c r="I185" s="1813"/>
      <c r="J185" s="1813"/>
      <c r="K185" s="1813"/>
      <c r="L185" s="1813"/>
      <c r="M185" s="1813"/>
      <c r="N185" s="1813"/>
      <c r="O185" s="1813"/>
    </row>
    <row r="186" spans="1:15" s="1870" customFormat="1" ht="12.75">
      <c r="A186" s="1869"/>
      <c r="C186" s="1813"/>
      <c r="D186" s="1813"/>
      <c r="E186" s="1813"/>
      <c r="F186" s="1813"/>
      <c r="G186" s="1813"/>
      <c r="H186" s="1813"/>
      <c r="I186" s="1813"/>
      <c r="J186" s="1813"/>
      <c r="K186" s="1813"/>
      <c r="L186" s="1813"/>
      <c r="M186" s="1813"/>
      <c r="N186" s="1813"/>
      <c r="O186" s="1813"/>
    </row>
    <row r="187" spans="1:15" s="1870" customFormat="1" ht="12.75">
      <c r="A187" s="1869"/>
      <c r="C187" s="1813"/>
      <c r="D187" s="1813"/>
      <c r="E187" s="1813"/>
      <c r="F187" s="1813"/>
      <c r="G187" s="1813"/>
      <c r="H187" s="1813"/>
      <c r="I187" s="1813"/>
      <c r="J187" s="1813"/>
      <c r="K187" s="1813"/>
      <c r="L187" s="1813"/>
      <c r="M187" s="1813"/>
      <c r="N187" s="1813"/>
      <c r="O187" s="1813"/>
    </row>
    <row r="188" spans="1:15" s="1870" customFormat="1" ht="12.75">
      <c r="A188" s="1869"/>
      <c r="C188" s="1813"/>
      <c r="D188" s="1813"/>
      <c r="E188" s="1813"/>
      <c r="F188" s="1813"/>
      <c r="G188" s="1813"/>
      <c r="H188" s="1813"/>
      <c r="I188" s="1813"/>
      <c r="J188" s="1813"/>
      <c r="K188" s="1813"/>
      <c r="L188" s="1813"/>
      <c r="M188" s="1813"/>
      <c r="N188" s="1813"/>
      <c r="O188" s="1813"/>
    </row>
    <row r="189" spans="1:15" s="1870" customFormat="1" ht="12.75">
      <c r="A189" s="1869"/>
      <c r="C189" s="1813"/>
      <c r="D189" s="1813"/>
      <c r="E189" s="1813"/>
      <c r="F189" s="1813"/>
      <c r="G189" s="1813"/>
      <c r="H189" s="1813"/>
      <c r="I189" s="1813"/>
      <c r="J189" s="1813"/>
      <c r="K189" s="1813"/>
      <c r="L189" s="1813"/>
      <c r="M189" s="1813"/>
      <c r="N189" s="1813"/>
      <c r="O189" s="1813"/>
    </row>
    <row r="190" spans="1:15" s="1870" customFormat="1" ht="12.75">
      <c r="A190" s="1869"/>
      <c r="C190" s="1813"/>
      <c r="D190" s="1813"/>
      <c r="E190" s="1813"/>
      <c r="F190" s="1813"/>
      <c r="G190" s="1813"/>
      <c r="H190" s="1813"/>
      <c r="I190" s="1813"/>
      <c r="J190" s="1813"/>
      <c r="K190" s="1813"/>
      <c r="L190" s="1813"/>
      <c r="M190" s="1813"/>
      <c r="N190" s="1813"/>
      <c r="O190" s="1813"/>
    </row>
    <row r="191" spans="1:15" s="1870" customFormat="1" ht="12.75">
      <c r="A191" s="1869"/>
      <c r="C191" s="1813"/>
      <c r="D191" s="1813"/>
      <c r="E191" s="1813"/>
      <c r="F191" s="1813"/>
      <c r="G191" s="1813"/>
      <c r="H191" s="1813"/>
      <c r="I191" s="1813"/>
      <c r="J191" s="1813"/>
      <c r="K191" s="1813"/>
      <c r="L191" s="1813"/>
      <c r="M191" s="1813"/>
      <c r="N191" s="1813"/>
      <c r="O191" s="1813"/>
    </row>
    <row r="192" spans="1:15" s="1870" customFormat="1" ht="12.75">
      <c r="A192" s="1869"/>
      <c r="C192" s="1813"/>
      <c r="D192" s="1813"/>
      <c r="E192" s="1813"/>
      <c r="F192" s="1813"/>
      <c r="G192" s="1813"/>
      <c r="H192" s="1813"/>
      <c r="I192" s="1813"/>
      <c r="J192" s="1813"/>
      <c r="K192" s="1813"/>
      <c r="L192" s="1813"/>
      <c r="M192" s="1813"/>
      <c r="N192" s="1813"/>
      <c r="O192" s="1813"/>
    </row>
    <row r="193" spans="1:15" s="1870" customFormat="1" ht="12.75">
      <c r="A193" s="1869"/>
      <c r="C193" s="1813"/>
      <c r="D193" s="1813"/>
      <c r="E193" s="1813"/>
      <c r="F193" s="1813"/>
      <c r="G193" s="1813"/>
      <c r="H193" s="1813"/>
      <c r="I193" s="1813"/>
      <c r="J193" s="1813"/>
      <c r="K193" s="1813"/>
      <c r="L193" s="1813"/>
      <c r="M193" s="1813"/>
      <c r="N193" s="1813"/>
      <c r="O193" s="1813"/>
    </row>
    <row r="194" spans="1:15" s="1870" customFormat="1" ht="12.75">
      <c r="A194" s="1869"/>
      <c r="C194" s="1813"/>
      <c r="D194" s="1813"/>
      <c r="E194" s="1813"/>
      <c r="F194" s="1813"/>
      <c r="G194" s="1813"/>
      <c r="H194" s="1813"/>
      <c r="I194" s="1813"/>
      <c r="J194" s="1813"/>
      <c r="K194" s="1813"/>
      <c r="L194" s="1813"/>
      <c r="M194" s="1813"/>
      <c r="N194" s="1813"/>
      <c r="O194" s="1813"/>
    </row>
    <row r="195" spans="1:15" s="1870" customFormat="1" ht="12.75">
      <c r="A195" s="1869"/>
      <c r="C195" s="1813"/>
      <c r="D195" s="1813"/>
      <c r="E195" s="1813"/>
      <c r="F195" s="1813"/>
      <c r="G195" s="1813"/>
      <c r="H195" s="1813"/>
      <c r="I195" s="1813"/>
      <c r="J195" s="1813"/>
      <c r="K195" s="1813"/>
      <c r="L195" s="1813"/>
      <c r="M195" s="1813"/>
      <c r="N195" s="1813"/>
      <c r="O195" s="1813"/>
    </row>
    <row r="196" spans="1:15" s="1870" customFormat="1" ht="12.75">
      <c r="A196" s="1869"/>
      <c r="C196" s="1813"/>
      <c r="D196" s="1813"/>
      <c r="E196" s="1813"/>
      <c r="F196" s="1813"/>
      <c r="G196" s="1813"/>
      <c r="H196" s="1813"/>
      <c r="I196" s="1813"/>
      <c r="J196" s="1813"/>
      <c r="K196" s="1813"/>
      <c r="L196" s="1813"/>
      <c r="M196" s="1813"/>
      <c r="N196" s="1813"/>
      <c r="O196" s="1813"/>
    </row>
    <row r="262" spans="7:7">
      <c r="G262" s="1871">
        <f>115000000+12000000</f>
        <v>127000000</v>
      </c>
    </row>
    <row r="370" spans="7:7">
      <c r="G370" s="1871"/>
    </row>
  </sheetData>
  <mergeCells count="73">
    <mergeCell ref="A124:C124"/>
    <mergeCell ref="A130:N130"/>
    <mergeCell ref="A97:A101"/>
    <mergeCell ref="B97:C97"/>
    <mergeCell ref="B98:B101"/>
    <mergeCell ref="C98:C101"/>
    <mergeCell ref="A102:A123"/>
    <mergeCell ref="B102:C102"/>
    <mergeCell ref="B103:B123"/>
    <mergeCell ref="C103:C123"/>
    <mergeCell ref="A89:A96"/>
    <mergeCell ref="B89:C89"/>
    <mergeCell ref="B90:B91"/>
    <mergeCell ref="C90:C91"/>
    <mergeCell ref="B92:B93"/>
    <mergeCell ref="C92:C93"/>
    <mergeCell ref="B94:B96"/>
    <mergeCell ref="C94:C96"/>
    <mergeCell ref="A76:A84"/>
    <mergeCell ref="B76:C76"/>
    <mergeCell ref="B77:B84"/>
    <mergeCell ref="C77:C84"/>
    <mergeCell ref="A85:A88"/>
    <mergeCell ref="B85:C85"/>
    <mergeCell ref="B86:B88"/>
    <mergeCell ref="C86:C88"/>
    <mergeCell ref="A55:A75"/>
    <mergeCell ref="B55:C55"/>
    <mergeCell ref="B56:B59"/>
    <mergeCell ref="C56:C59"/>
    <mergeCell ref="B60:B65"/>
    <mergeCell ref="C60:C65"/>
    <mergeCell ref="B66:B75"/>
    <mergeCell ref="C66:C75"/>
    <mergeCell ref="A39:A44"/>
    <mergeCell ref="B39:C39"/>
    <mergeCell ref="B40:B44"/>
    <mergeCell ref="C40:C44"/>
    <mergeCell ref="A45:A54"/>
    <mergeCell ref="B45:C45"/>
    <mergeCell ref="B46:B52"/>
    <mergeCell ref="C46:C52"/>
    <mergeCell ref="B53:B54"/>
    <mergeCell ref="C53:C54"/>
    <mergeCell ref="A30:A38"/>
    <mergeCell ref="B30:C30"/>
    <mergeCell ref="B31:B32"/>
    <mergeCell ref="C31:C32"/>
    <mergeCell ref="B33:B38"/>
    <mergeCell ref="C33:C38"/>
    <mergeCell ref="M4:M5"/>
    <mergeCell ref="A7:A29"/>
    <mergeCell ref="B7:C7"/>
    <mergeCell ref="B8:B23"/>
    <mergeCell ref="C8:C23"/>
    <mergeCell ref="B24:B29"/>
    <mergeCell ref="C24:C29"/>
    <mergeCell ref="A1:O1"/>
    <mergeCell ref="N2:O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N3:N5"/>
    <mergeCell ref="O3:O5"/>
    <mergeCell ref="I4:I5"/>
    <mergeCell ref="J4:K4"/>
    <mergeCell ref="L4:L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70" orientation="landscape" r:id="rId1"/>
  <headerFooter>
    <oddFooter>Strona &amp;P z &amp;N</oddFooter>
  </headerFooter>
  <rowBreaks count="3" manualBreakCount="3">
    <brk id="44" max="14" man="1"/>
    <brk id="75" max="14" man="1"/>
    <brk id="10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BreakPreview" topLeftCell="A19" zoomScale="70" zoomScaleNormal="100" zoomScaleSheetLayoutView="70" zoomScalePageLayoutView="50" workbookViewId="0">
      <selection activeCell="M85" sqref="M85"/>
    </sheetView>
  </sheetViews>
  <sheetFormatPr defaultRowHeight="14.25"/>
  <cols>
    <col min="1" max="1" width="6" style="21" bestFit="1" customWidth="1"/>
    <col min="2" max="2" width="9.85546875" style="21" bestFit="1" customWidth="1"/>
    <col min="3" max="3" width="41.5703125" style="22" customWidth="1"/>
    <col min="4" max="4" width="10" style="22" bestFit="1" customWidth="1"/>
    <col min="5" max="5" width="16.85546875" style="23" customWidth="1"/>
    <col min="6" max="6" width="16.5703125" style="23" customWidth="1"/>
    <col min="7" max="7" width="10" style="23" bestFit="1" customWidth="1"/>
    <col min="8" max="8" width="15" style="23" customWidth="1"/>
    <col min="9" max="9" width="15.140625" style="24" customWidth="1"/>
    <col min="10" max="10" width="14.5703125" style="24" customWidth="1"/>
    <col min="11" max="11" width="14.7109375" style="24" customWidth="1"/>
    <col min="12" max="12" width="40.7109375" style="24" customWidth="1"/>
    <col min="13" max="13" width="9.140625" style="25"/>
    <col min="14" max="14" width="29.28515625" style="25" customWidth="1"/>
    <col min="15" max="260" width="9.140625" style="25"/>
    <col min="261" max="261" width="7" style="25" customWidth="1"/>
    <col min="262" max="262" width="10.7109375" style="25" customWidth="1"/>
    <col min="263" max="263" width="15.7109375" style="25" customWidth="1"/>
    <col min="264" max="265" width="13.42578125" style="25" customWidth="1"/>
    <col min="266" max="266" width="17.85546875" style="25" customWidth="1"/>
    <col min="267" max="267" width="16" style="25" customWidth="1"/>
    <col min="268" max="268" width="43.42578125" style="25" customWidth="1"/>
    <col min="269" max="516" width="9.140625" style="25"/>
    <col min="517" max="517" width="7" style="25" customWidth="1"/>
    <col min="518" max="518" width="10.7109375" style="25" customWidth="1"/>
    <col min="519" max="519" width="15.7109375" style="25" customWidth="1"/>
    <col min="520" max="521" width="13.42578125" style="25" customWidth="1"/>
    <col min="522" max="522" width="17.85546875" style="25" customWidth="1"/>
    <col min="523" max="523" width="16" style="25" customWidth="1"/>
    <col min="524" max="524" width="43.42578125" style="25" customWidth="1"/>
    <col min="525" max="772" width="9.140625" style="25"/>
    <col min="773" max="773" width="7" style="25" customWidth="1"/>
    <col min="774" max="774" width="10.7109375" style="25" customWidth="1"/>
    <col min="775" max="775" width="15.7109375" style="25" customWidth="1"/>
    <col min="776" max="777" width="13.42578125" style="25" customWidth="1"/>
    <col min="778" max="778" width="17.85546875" style="25" customWidth="1"/>
    <col min="779" max="779" width="16" style="25" customWidth="1"/>
    <col min="780" max="780" width="43.42578125" style="25" customWidth="1"/>
    <col min="781" max="1028" width="9.140625" style="25"/>
    <col min="1029" max="1029" width="7" style="25" customWidth="1"/>
    <col min="1030" max="1030" width="10.7109375" style="25" customWidth="1"/>
    <col min="1031" max="1031" width="15.7109375" style="25" customWidth="1"/>
    <col min="1032" max="1033" width="13.42578125" style="25" customWidth="1"/>
    <col min="1034" max="1034" width="17.85546875" style="25" customWidth="1"/>
    <col min="1035" max="1035" width="16" style="25" customWidth="1"/>
    <col min="1036" max="1036" width="43.42578125" style="25" customWidth="1"/>
    <col min="1037" max="1284" width="9.140625" style="25"/>
    <col min="1285" max="1285" width="7" style="25" customWidth="1"/>
    <col min="1286" max="1286" width="10.7109375" style="25" customWidth="1"/>
    <col min="1287" max="1287" width="15.7109375" style="25" customWidth="1"/>
    <col min="1288" max="1289" width="13.42578125" style="25" customWidth="1"/>
    <col min="1290" max="1290" width="17.85546875" style="25" customWidth="1"/>
    <col min="1291" max="1291" width="16" style="25" customWidth="1"/>
    <col min="1292" max="1292" width="43.42578125" style="25" customWidth="1"/>
    <col min="1293" max="1540" width="9.140625" style="25"/>
    <col min="1541" max="1541" width="7" style="25" customWidth="1"/>
    <col min="1542" max="1542" width="10.7109375" style="25" customWidth="1"/>
    <col min="1543" max="1543" width="15.7109375" style="25" customWidth="1"/>
    <col min="1544" max="1545" width="13.42578125" style="25" customWidth="1"/>
    <col min="1546" max="1546" width="17.85546875" style="25" customWidth="1"/>
    <col min="1547" max="1547" width="16" style="25" customWidth="1"/>
    <col min="1548" max="1548" width="43.42578125" style="25" customWidth="1"/>
    <col min="1549" max="1796" width="9.140625" style="25"/>
    <col min="1797" max="1797" width="7" style="25" customWidth="1"/>
    <col min="1798" max="1798" width="10.7109375" style="25" customWidth="1"/>
    <col min="1799" max="1799" width="15.7109375" style="25" customWidth="1"/>
    <col min="1800" max="1801" width="13.42578125" style="25" customWidth="1"/>
    <col min="1802" max="1802" width="17.85546875" style="25" customWidth="1"/>
    <col min="1803" max="1803" width="16" style="25" customWidth="1"/>
    <col min="1804" max="1804" width="43.42578125" style="25" customWidth="1"/>
    <col min="1805" max="2052" width="9.140625" style="25"/>
    <col min="2053" max="2053" width="7" style="25" customWidth="1"/>
    <col min="2054" max="2054" width="10.7109375" style="25" customWidth="1"/>
    <col min="2055" max="2055" width="15.7109375" style="25" customWidth="1"/>
    <col min="2056" max="2057" width="13.42578125" style="25" customWidth="1"/>
    <col min="2058" max="2058" width="17.85546875" style="25" customWidth="1"/>
    <col min="2059" max="2059" width="16" style="25" customWidth="1"/>
    <col min="2060" max="2060" width="43.42578125" style="25" customWidth="1"/>
    <col min="2061" max="2308" width="9.140625" style="25"/>
    <col min="2309" max="2309" width="7" style="25" customWidth="1"/>
    <col min="2310" max="2310" width="10.7109375" style="25" customWidth="1"/>
    <col min="2311" max="2311" width="15.7109375" style="25" customWidth="1"/>
    <col min="2312" max="2313" width="13.42578125" style="25" customWidth="1"/>
    <col min="2314" max="2314" width="17.85546875" style="25" customWidth="1"/>
    <col min="2315" max="2315" width="16" style="25" customWidth="1"/>
    <col min="2316" max="2316" width="43.42578125" style="25" customWidth="1"/>
    <col min="2317" max="2564" width="9.140625" style="25"/>
    <col min="2565" max="2565" width="7" style="25" customWidth="1"/>
    <col min="2566" max="2566" width="10.7109375" style="25" customWidth="1"/>
    <col min="2567" max="2567" width="15.7109375" style="25" customWidth="1"/>
    <col min="2568" max="2569" width="13.42578125" style="25" customWidth="1"/>
    <col min="2570" max="2570" width="17.85546875" style="25" customWidth="1"/>
    <col min="2571" max="2571" width="16" style="25" customWidth="1"/>
    <col min="2572" max="2572" width="43.42578125" style="25" customWidth="1"/>
    <col min="2573" max="2820" width="9.140625" style="25"/>
    <col min="2821" max="2821" width="7" style="25" customWidth="1"/>
    <col min="2822" max="2822" width="10.7109375" style="25" customWidth="1"/>
    <col min="2823" max="2823" width="15.7109375" style="25" customWidth="1"/>
    <col min="2824" max="2825" width="13.42578125" style="25" customWidth="1"/>
    <col min="2826" max="2826" width="17.85546875" style="25" customWidth="1"/>
    <col min="2827" max="2827" width="16" style="25" customWidth="1"/>
    <col min="2828" max="2828" width="43.42578125" style="25" customWidth="1"/>
    <col min="2829" max="3076" width="9.140625" style="25"/>
    <col min="3077" max="3077" width="7" style="25" customWidth="1"/>
    <col min="3078" max="3078" width="10.7109375" style="25" customWidth="1"/>
    <col min="3079" max="3079" width="15.7109375" style="25" customWidth="1"/>
    <col min="3080" max="3081" width="13.42578125" style="25" customWidth="1"/>
    <col min="3082" max="3082" width="17.85546875" style="25" customWidth="1"/>
    <col min="3083" max="3083" width="16" style="25" customWidth="1"/>
    <col min="3084" max="3084" width="43.42578125" style="25" customWidth="1"/>
    <col min="3085" max="3332" width="9.140625" style="25"/>
    <col min="3333" max="3333" width="7" style="25" customWidth="1"/>
    <col min="3334" max="3334" width="10.7109375" style="25" customWidth="1"/>
    <col min="3335" max="3335" width="15.7109375" style="25" customWidth="1"/>
    <col min="3336" max="3337" width="13.42578125" style="25" customWidth="1"/>
    <col min="3338" max="3338" width="17.85546875" style="25" customWidth="1"/>
    <col min="3339" max="3339" width="16" style="25" customWidth="1"/>
    <col min="3340" max="3340" width="43.42578125" style="25" customWidth="1"/>
    <col min="3341" max="3588" width="9.140625" style="25"/>
    <col min="3589" max="3589" width="7" style="25" customWidth="1"/>
    <col min="3590" max="3590" width="10.7109375" style="25" customWidth="1"/>
    <col min="3591" max="3591" width="15.7109375" style="25" customWidth="1"/>
    <col min="3592" max="3593" width="13.42578125" style="25" customWidth="1"/>
    <col min="3594" max="3594" width="17.85546875" style="25" customWidth="1"/>
    <col min="3595" max="3595" width="16" style="25" customWidth="1"/>
    <col min="3596" max="3596" width="43.42578125" style="25" customWidth="1"/>
    <col min="3597" max="3844" width="9.140625" style="25"/>
    <col min="3845" max="3845" width="7" style="25" customWidth="1"/>
    <col min="3846" max="3846" width="10.7109375" style="25" customWidth="1"/>
    <col min="3847" max="3847" width="15.7109375" style="25" customWidth="1"/>
    <col min="3848" max="3849" width="13.42578125" style="25" customWidth="1"/>
    <col min="3850" max="3850" width="17.85546875" style="25" customWidth="1"/>
    <col min="3851" max="3851" width="16" style="25" customWidth="1"/>
    <col min="3852" max="3852" width="43.42578125" style="25" customWidth="1"/>
    <col min="3853" max="4100" width="9.140625" style="25"/>
    <col min="4101" max="4101" width="7" style="25" customWidth="1"/>
    <col min="4102" max="4102" width="10.7109375" style="25" customWidth="1"/>
    <col min="4103" max="4103" width="15.7109375" style="25" customWidth="1"/>
    <col min="4104" max="4105" width="13.42578125" style="25" customWidth="1"/>
    <col min="4106" max="4106" width="17.85546875" style="25" customWidth="1"/>
    <col min="4107" max="4107" width="16" style="25" customWidth="1"/>
    <col min="4108" max="4108" width="43.42578125" style="25" customWidth="1"/>
    <col min="4109" max="4356" width="9.140625" style="25"/>
    <col min="4357" max="4357" width="7" style="25" customWidth="1"/>
    <col min="4358" max="4358" width="10.7109375" style="25" customWidth="1"/>
    <col min="4359" max="4359" width="15.7109375" style="25" customWidth="1"/>
    <col min="4360" max="4361" width="13.42578125" style="25" customWidth="1"/>
    <col min="4362" max="4362" width="17.85546875" style="25" customWidth="1"/>
    <col min="4363" max="4363" width="16" style="25" customWidth="1"/>
    <col min="4364" max="4364" width="43.42578125" style="25" customWidth="1"/>
    <col min="4365" max="4612" width="9.140625" style="25"/>
    <col min="4613" max="4613" width="7" style="25" customWidth="1"/>
    <col min="4614" max="4614" width="10.7109375" style="25" customWidth="1"/>
    <col min="4615" max="4615" width="15.7109375" style="25" customWidth="1"/>
    <col min="4616" max="4617" width="13.42578125" style="25" customWidth="1"/>
    <col min="4618" max="4618" width="17.85546875" style="25" customWidth="1"/>
    <col min="4619" max="4619" width="16" style="25" customWidth="1"/>
    <col min="4620" max="4620" width="43.42578125" style="25" customWidth="1"/>
    <col min="4621" max="4868" width="9.140625" style="25"/>
    <col min="4869" max="4869" width="7" style="25" customWidth="1"/>
    <col min="4870" max="4870" width="10.7109375" style="25" customWidth="1"/>
    <col min="4871" max="4871" width="15.7109375" style="25" customWidth="1"/>
    <col min="4872" max="4873" width="13.42578125" style="25" customWidth="1"/>
    <col min="4874" max="4874" width="17.85546875" style="25" customWidth="1"/>
    <col min="4875" max="4875" width="16" style="25" customWidth="1"/>
    <col min="4876" max="4876" width="43.42578125" style="25" customWidth="1"/>
    <col min="4877" max="5124" width="9.140625" style="25"/>
    <col min="5125" max="5125" width="7" style="25" customWidth="1"/>
    <col min="5126" max="5126" width="10.7109375" style="25" customWidth="1"/>
    <col min="5127" max="5127" width="15.7109375" style="25" customWidth="1"/>
    <col min="5128" max="5129" width="13.42578125" style="25" customWidth="1"/>
    <col min="5130" max="5130" width="17.85546875" style="25" customWidth="1"/>
    <col min="5131" max="5131" width="16" style="25" customWidth="1"/>
    <col min="5132" max="5132" width="43.42578125" style="25" customWidth="1"/>
    <col min="5133" max="5380" width="9.140625" style="25"/>
    <col min="5381" max="5381" width="7" style="25" customWidth="1"/>
    <col min="5382" max="5382" width="10.7109375" style="25" customWidth="1"/>
    <col min="5383" max="5383" width="15.7109375" style="25" customWidth="1"/>
    <col min="5384" max="5385" width="13.42578125" style="25" customWidth="1"/>
    <col min="5386" max="5386" width="17.85546875" style="25" customWidth="1"/>
    <col min="5387" max="5387" width="16" style="25" customWidth="1"/>
    <col min="5388" max="5388" width="43.42578125" style="25" customWidth="1"/>
    <col min="5389" max="5636" width="9.140625" style="25"/>
    <col min="5637" max="5637" width="7" style="25" customWidth="1"/>
    <col min="5638" max="5638" width="10.7109375" style="25" customWidth="1"/>
    <col min="5639" max="5639" width="15.7109375" style="25" customWidth="1"/>
    <col min="5640" max="5641" width="13.42578125" style="25" customWidth="1"/>
    <col min="5642" max="5642" width="17.85546875" style="25" customWidth="1"/>
    <col min="5643" max="5643" width="16" style="25" customWidth="1"/>
    <col min="5644" max="5644" width="43.42578125" style="25" customWidth="1"/>
    <col min="5645" max="5892" width="9.140625" style="25"/>
    <col min="5893" max="5893" width="7" style="25" customWidth="1"/>
    <col min="5894" max="5894" width="10.7109375" style="25" customWidth="1"/>
    <col min="5895" max="5895" width="15.7109375" style="25" customWidth="1"/>
    <col min="5896" max="5897" width="13.42578125" style="25" customWidth="1"/>
    <col min="5898" max="5898" width="17.85546875" style="25" customWidth="1"/>
    <col min="5899" max="5899" width="16" style="25" customWidth="1"/>
    <col min="5900" max="5900" width="43.42578125" style="25" customWidth="1"/>
    <col min="5901" max="6148" width="9.140625" style="25"/>
    <col min="6149" max="6149" width="7" style="25" customWidth="1"/>
    <col min="6150" max="6150" width="10.7109375" style="25" customWidth="1"/>
    <col min="6151" max="6151" width="15.7109375" style="25" customWidth="1"/>
    <col min="6152" max="6153" width="13.42578125" style="25" customWidth="1"/>
    <col min="6154" max="6154" width="17.85546875" style="25" customWidth="1"/>
    <col min="6155" max="6155" width="16" style="25" customWidth="1"/>
    <col min="6156" max="6156" width="43.42578125" style="25" customWidth="1"/>
    <col min="6157" max="6404" width="9.140625" style="25"/>
    <col min="6405" max="6405" width="7" style="25" customWidth="1"/>
    <col min="6406" max="6406" width="10.7109375" style="25" customWidth="1"/>
    <col min="6407" max="6407" width="15.7109375" style="25" customWidth="1"/>
    <col min="6408" max="6409" width="13.42578125" style="25" customWidth="1"/>
    <col min="6410" max="6410" width="17.85546875" style="25" customWidth="1"/>
    <col min="6411" max="6411" width="16" style="25" customWidth="1"/>
    <col min="6412" max="6412" width="43.42578125" style="25" customWidth="1"/>
    <col min="6413" max="6660" width="9.140625" style="25"/>
    <col min="6661" max="6661" width="7" style="25" customWidth="1"/>
    <col min="6662" max="6662" width="10.7109375" style="25" customWidth="1"/>
    <col min="6663" max="6663" width="15.7109375" style="25" customWidth="1"/>
    <col min="6664" max="6665" width="13.42578125" style="25" customWidth="1"/>
    <col min="6666" max="6666" width="17.85546875" style="25" customWidth="1"/>
    <col min="6667" max="6667" width="16" style="25" customWidth="1"/>
    <col min="6668" max="6668" width="43.42578125" style="25" customWidth="1"/>
    <col min="6669" max="6916" width="9.140625" style="25"/>
    <col min="6917" max="6917" width="7" style="25" customWidth="1"/>
    <col min="6918" max="6918" width="10.7109375" style="25" customWidth="1"/>
    <col min="6919" max="6919" width="15.7109375" style="25" customWidth="1"/>
    <col min="6920" max="6921" width="13.42578125" style="25" customWidth="1"/>
    <col min="6922" max="6922" width="17.85546875" style="25" customWidth="1"/>
    <col min="6923" max="6923" width="16" style="25" customWidth="1"/>
    <col min="6924" max="6924" width="43.42578125" style="25" customWidth="1"/>
    <col min="6925" max="7172" width="9.140625" style="25"/>
    <col min="7173" max="7173" width="7" style="25" customWidth="1"/>
    <col min="7174" max="7174" width="10.7109375" style="25" customWidth="1"/>
    <col min="7175" max="7175" width="15.7109375" style="25" customWidth="1"/>
    <col min="7176" max="7177" width="13.42578125" style="25" customWidth="1"/>
    <col min="7178" max="7178" width="17.85546875" style="25" customWidth="1"/>
    <col min="7179" max="7179" width="16" style="25" customWidth="1"/>
    <col min="7180" max="7180" width="43.42578125" style="25" customWidth="1"/>
    <col min="7181" max="7428" width="9.140625" style="25"/>
    <col min="7429" max="7429" width="7" style="25" customWidth="1"/>
    <col min="7430" max="7430" width="10.7109375" style="25" customWidth="1"/>
    <col min="7431" max="7431" width="15.7109375" style="25" customWidth="1"/>
    <col min="7432" max="7433" width="13.42578125" style="25" customWidth="1"/>
    <col min="7434" max="7434" width="17.85546875" style="25" customWidth="1"/>
    <col min="7435" max="7435" width="16" style="25" customWidth="1"/>
    <col min="7436" max="7436" width="43.42578125" style="25" customWidth="1"/>
    <col min="7437" max="7684" width="9.140625" style="25"/>
    <col min="7685" max="7685" width="7" style="25" customWidth="1"/>
    <col min="7686" max="7686" width="10.7109375" style="25" customWidth="1"/>
    <col min="7687" max="7687" width="15.7109375" style="25" customWidth="1"/>
    <col min="7688" max="7689" width="13.42578125" style="25" customWidth="1"/>
    <col min="7690" max="7690" width="17.85546875" style="25" customWidth="1"/>
    <col min="7691" max="7691" width="16" style="25" customWidth="1"/>
    <col min="7692" max="7692" width="43.42578125" style="25" customWidth="1"/>
    <col min="7693" max="7940" width="9.140625" style="25"/>
    <col min="7941" max="7941" width="7" style="25" customWidth="1"/>
    <col min="7942" max="7942" width="10.7109375" style="25" customWidth="1"/>
    <col min="7943" max="7943" width="15.7109375" style="25" customWidth="1"/>
    <col min="7944" max="7945" width="13.42578125" style="25" customWidth="1"/>
    <col min="7946" max="7946" width="17.85546875" style="25" customWidth="1"/>
    <col min="7947" max="7947" width="16" style="25" customWidth="1"/>
    <col min="7948" max="7948" width="43.42578125" style="25" customWidth="1"/>
    <col min="7949" max="8196" width="9.140625" style="25"/>
    <col min="8197" max="8197" width="7" style="25" customWidth="1"/>
    <col min="8198" max="8198" width="10.7109375" style="25" customWidth="1"/>
    <col min="8199" max="8199" width="15.7109375" style="25" customWidth="1"/>
    <col min="8200" max="8201" width="13.42578125" style="25" customWidth="1"/>
    <col min="8202" max="8202" width="17.85546875" style="25" customWidth="1"/>
    <col min="8203" max="8203" width="16" style="25" customWidth="1"/>
    <col min="8204" max="8204" width="43.42578125" style="25" customWidth="1"/>
    <col min="8205" max="8452" width="9.140625" style="25"/>
    <col min="8453" max="8453" width="7" style="25" customWidth="1"/>
    <col min="8454" max="8454" width="10.7109375" style="25" customWidth="1"/>
    <col min="8455" max="8455" width="15.7109375" style="25" customWidth="1"/>
    <col min="8456" max="8457" width="13.42578125" style="25" customWidth="1"/>
    <col min="8458" max="8458" width="17.85546875" style="25" customWidth="1"/>
    <col min="8459" max="8459" width="16" style="25" customWidth="1"/>
    <col min="8460" max="8460" width="43.42578125" style="25" customWidth="1"/>
    <col min="8461" max="8708" width="9.140625" style="25"/>
    <col min="8709" max="8709" width="7" style="25" customWidth="1"/>
    <col min="8710" max="8710" width="10.7109375" style="25" customWidth="1"/>
    <col min="8711" max="8711" width="15.7109375" style="25" customWidth="1"/>
    <col min="8712" max="8713" width="13.42578125" style="25" customWidth="1"/>
    <col min="8714" max="8714" width="17.85546875" style="25" customWidth="1"/>
    <col min="8715" max="8715" width="16" style="25" customWidth="1"/>
    <col min="8716" max="8716" width="43.42578125" style="25" customWidth="1"/>
    <col min="8717" max="8964" width="9.140625" style="25"/>
    <col min="8965" max="8965" width="7" style="25" customWidth="1"/>
    <col min="8966" max="8966" width="10.7109375" style="25" customWidth="1"/>
    <col min="8967" max="8967" width="15.7109375" style="25" customWidth="1"/>
    <col min="8968" max="8969" width="13.42578125" style="25" customWidth="1"/>
    <col min="8970" max="8970" width="17.85546875" style="25" customWidth="1"/>
    <col min="8971" max="8971" width="16" style="25" customWidth="1"/>
    <col min="8972" max="8972" width="43.42578125" style="25" customWidth="1"/>
    <col min="8973" max="9220" width="9.140625" style="25"/>
    <col min="9221" max="9221" width="7" style="25" customWidth="1"/>
    <col min="9222" max="9222" width="10.7109375" style="25" customWidth="1"/>
    <col min="9223" max="9223" width="15.7109375" style="25" customWidth="1"/>
    <col min="9224" max="9225" width="13.42578125" style="25" customWidth="1"/>
    <col min="9226" max="9226" width="17.85546875" style="25" customWidth="1"/>
    <col min="9227" max="9227" width="16" style="25" customWidth="1"/>
    <col min="9228" max="9228" width="43.42578125" style="25" customWidth="1"/>
    <col min="9229" max="9476" width="9.140625" style="25"/>
    <col min="9477" max="9477" width="7" style="25" customWidth="1"/>
    <col min="9478" max="9478" width="10.7109375" style="25" customWidth="1"/>
    <col min="9479" max="9479" width="15.7109375" style="25" customWidth="1"/>
    <col min="9480" max="9481" width="13.42578125" style="25" customWidth="1"/>
    <col min="9482" max="9482" width="17.85546875" style="25" customWidth="1"/>
    <col min="9483" max="9483" width="16" style="25" customWidth="1"/>
    <col min="9484" max="9484" width="43.42578125" style="25" customWidth="1"/>
    <col min="9485" max="9732" width="9.140625" style="25"/>
    <col min="9733" max="9733" width="7" style="25" customWidth="1"/>
    <col min="9734" max="9734" width="10.7109375" style="25" customWidth="1"/>
    <col min="9735" max="9735" width="15.7109375" style="25" customWidth="1"/>
    <col min="9736" max="9737" width="13.42578125" style="25" customWidth="1"/>
    <col min="9738" max="9738" width="17.85546875" style="25" customWidth="1"/>
    <col min="9739" max="9739" width="16" style="25" customWidth="1"/>
    <col min="9740" max="9740" width="43.42578125" style="25" customWidth="1"/>
    <col min="9741" max="9988" width="9.140625" style="25"/>
    <col min="9989" max="9989" width="7" style="25" customWidth="1"/>
    <col min="9990" max="9990" width="10.7109375" style="25" customWidth="1"/>
    <col min="9991" max="9991" width="15.7109375" style="25" customWidth="1"/>
    <col min="9992" max="9993" width="13.42578125" style="25" customWidth="1"/>
    <col min="9994" max="9994" width="17.85546875" style="25" customWidth="1"/>
    <col min="9995" max="9995" width="16" style="25" customWidth="1"/>
    <col min="9996" max="9996" width="43.42578125" style="25" customWidth="1"/>
    <col min="9997" max="10244" width="9.140625" style="25"/>
    <col min="10245" max="10245" width="7" style="25" customWidth="1"/>
    <col min="10246" max="10246" width="10.7109375" style="25" customWidth="1"/>
    <col min="10247" max="10247" width="15.7109375" style="25" customWidth="1"/>
    <col min="10248" max="10249" width="13.42578125" style="25" customWidth="1"/>
    <col min="10250" max="10250" width="17.85546875" style="25" customWidth="1"/>
    <col min="10251" max="10251" width="16" style="25" customWidth="1"/>
    <col min="10252" max="10252" width="43.42578125" style="25" customWidth="1"/>
    <col min="10253" max="10500" width="9.140625" style="25"/>
    <col min="10501" max="10501" width="7" style="25" customWidth="1"/>
    <col min="10502" max="10502" width="10.7109375" style="25" customWidth="1"/>
    <col min="10503" max="10503" width="15.7109375" style="25" customWidth="1"/>
    <col min="10504" max="10505" width="13.42578125" style="25" customWidth="1"/>
    <col min="10506" max="10506" width="17.85546875" style="25" customWidth="1"/>
    <col min="10507" max="10507" width="16" style="25" customWidth="1"/>
    <col min="10508" max="10508" width="43.42578125" style="25" customWidth="1"/>
    <col min="10509" max="10756" width="9.140625" style="25"/>
    <col min="10757" max="10757" width="7" style="25" customWidth="1"/>
    <col min="10758" max="10758" width="10.7109375" style="25" customWidth="1"/>
    <col min="10759" max="10759" width="15.7109375" style="25" customWidth="1"/>
    <col min="10760" max="10761" width="13.42578125" style="25" customWidth="1"/>
    <col min="10762" max="10762" width="17.85546875" style="25" customWidth="1"/>
    <col min="10763" max="10763" width="16" style="25" customWidth="1"/>
    <col min="10764" max="10764" width="43.42578125" style="25" customWidth="1"/>
    <col min="10765" max="11012" width="9.140625" style="25"/>
    <col min="11013" max="11013" width="7" style="25" customWidth="1"/>
    <col min="11014" max="11014" width="10.7109375" style="25" customWidth="1"/>
    <col min="11015" max="11015" width="15.7109375" style="25" customWidth="1"/>
    <col min="11016" max="11017" width="13.42578125" style="25" customWidth="1"/>
    <col min="11018" max="11018" width="17.85546875" style="25" customWidth="1"/>
    <col min="11019" max="11019" width="16" style="25" customWidth="1"/>
    <col min="11020" max="11020" width="43.42578125" style="25" customWidth="1"/>
    <col min="11021" max="11268" width="9.140625" style="25"/>
    <col min="11269" max="11269" width="7" style="25" customWidth="1"/>
    <col min="11270" max="11270" width="10.7109375" style="25" customWidth="1"/>
    <col min="11271" max="11271" width="15.7109375" style="25" customWidth="1"/>
    <col min="11272" max="11273" width="13.42578125" style="25" customWidth="1"/>
    <col min="11274" max="11274" width="17.85546875" style="25" customWidth="1"/>
    <col min="11275" max="11275" width="16" style="25" customWidth="1"/>
    <col min="11276" max="11276" width="43.42578125" style="25" customWidth="1"/>
    <col min="11277" max="11524" width="9.140625" style="25"/>
    <col min="11525" max="11525" width="7" style="25" customWidth="1"/>
    <col min="11526" max="11526" width="10.7109375" style="25" customWidth="1"/>
    <col min="11527" max="11527" width="15.7109375" style="25" customWidth="1"/>
    <col min="11528" max="11529" width="13.42578125" style="25" customWidth="1"/>
    <col min="11530" max="11530" width="17.85546875" style="25" customWidth="1"/>
    <col min="11531" max="11531" width="16" style="25" customWidth="1"/>
    <col min="11532" max="11532" width="43.42578125" style="25" customWidth="1"/>
    <col min="11533" max="11780" width="9.140625" style="25"/>
    <col min="11781" max="11781" width="7" style="25" customWidth="1"/>
    <col min="11782" max="11782" width="10.7109375" style="25" customWidth="1"/>
    <col min="11783" max="11783" width="15.7109375" style="25" customWidth="1"/>
    <col min="11784" max="11785" width="13.42578125" style="25" customWidth="1"/>
    <col min="11786" max="11786" width="17.85546875" style="25" customWidth="1"/>
    <col min="11787" max="11787" width="16" style="25" customWidth="1"/>
    <col min="11788" max="11788" width="43.42578125" style="25" customWidth="1"/>
    <col min="11789" max="12036" width="9.140625" style="25"/>
    <col min="12037" max="12037" width="7" style="25" customWidth="1"/>
    <col min="12038" max="12038" width="10.7109375" style="25" customWidth="1"/>
    <col min="12039" max="12039" width="15.7109375" style="25" customWidth="1"/>
    <col min="12040" max="12041" width="13.42578125" style="25" customWidth="1"/>
    <col min="12042" max="12042" width="17.85546875" style="25" customWidth="1"/>
    <col min="12043" max="12043" width="16" style="25" customWidth="1"/>
    <col min="12044" max="12044" width="43.42578125" style="25" customWidth="1"/>
    <col min="12045" max="12292" width="9.140625" style="25"/>
    <col min="12293" max="12293" width="7" style="25" customWidth="1"/>
    <col min="12294" max="12294" width="10.7109375" style="25" customWidth="1"/>
    <col min="12295" max="12295" width="15.7109375" style="25" customWidth="1"/>
    <col min="12296" max="12297" width="13.42578125" style="25" customWidth="1"/>
    <col min="12298" max="12298" width="17.85546875" style="25" customWidth="1"/>
    <col min="12299" max="12299" width="16" style="25" customWidth="1"/>
    <col min="12300" max="12300" width="43.42578125" style="25" customWidth="1"/>
    <col min="12301" max="12548" width="9.140625" style="25"/>
    <col min="12549" max="12549" width="7" style="25" customWidth="1"/>
    <col min="12550" max="12550" width="10.7109375" style="25" customWidth="1"/>
    <col min="12551" max="12551" width="15.7109375" style="25" customWidth="1"/>
    <col min="12552" max="12553" width="13.42578125" style="25" customWidth="1"/>
    <col min="12554" max="12554" width="17.85546875" style="25" customWidth="1"/>
    <col min="12555" max="12555" width="16" style="25" customWidth="1"/>
    <col min="12556" max="12556" width="43.42578125" style="25" customWidth="1"/>
    <col min="12557" max="12804" width="9.140625" style="25"/>
    <col min="12805" max="12805" width="7" style="25" customWidth="1"/>
    <col min="12806" max="12806" width="10.7109375" style="25" customWidth="1"/>
    <col min="12807" max="12807" width="15.7109375" style="25" customWidth="1"/>
    <col min="12808" max="12809" width="13.42578125" style="25" customWidth="1"/>
    <col min="12810" max="12810" width="17.85546875" style="25" customWidth="1"/>
    <col min="12811" max="12811" width="16" style="25" customWidth="1"/>
    <col min="12812" max="12812" width="43.42578125" style="25" customWidth="1"/>
    <col min="12813" max="13060" width="9.140625" style="25"/>
    <col min="13061" max="13061" width="7" style="25" customWidth="1"/>
    <col min="13062" max="13062" width="10.7109375" style="25" customWidth="1"/>
    <col min="13063" max="13063" width="15.7109375" style="25" customWidth="1"/>
    <col min="13064" max="13065" width="13.42578125" style="25" customWidth="1"/>
    <col min="13066" max="13066" width="17.85546875" style="25" customWidth="1"/>
    <col min="13067" max="13067" width="16" style="25" customWidth="1"/>
    <col min="13068" max="13068" width="43.42578125" style="25" customWidth="1"/>
    <col min="13069" max="13316" width="9.140625" style="25"/>
    <col min="13317" max="13317" width="7" style="25" customWidth="1"/>
    <col min="13318" max="13318" width="10.7109375" style="25" customWidth="1"/>
    <col min="13319" max="13319" width="15.7109375" style="25" customWidth="1"/>
    <col min="13320" max="13321" width="13.42578125" style="25" customWidth="1"/>
    <col min="13322" max="13322" width="17.85546875" style="25" customWidth="1"/>
    <col min="13323" max="13323" width="16" style="25" customWidth="1"/>
    <col min="13324" max="13324" width="43.42578125" style="25" customWidth="1"/>
    <col min="13325" max="13572" width="9.140625" style="25"/>
    <col min="13573" max="13573" width="7" style="25" customWidth="1"/>
    <col min="13574" max="13574" width="10.7109375" style="25" customWidth="1"/>
    <col min="13575" max="13575" width="15.7109375" style="25" customWidth="1"/>
    <col min="13576" max="13577" width="13.42578125" style="25" customWidth="1"/>
    <col min="13578" max="13578" width="17.85546875" style="25" customWidth="1"/>
    <col min="13579" max="13579" width="16" style="25" customWidth="1"/>
    <col min="13580" max="13580" width="43.42578125" style="25" customWidth="1"/>
    <col min="13581" max="13828" width="9.140625" style="25"/>
    <col min="13829" max="13829" width="7" style="25" customWidth="1"/>
    <col min="13830" max="13830" width="10.7109375" style="25" customWidth="1"/>
    <col min="13831" max="13831" width="15.7109375" style="25" customWidth="1"/>
    <col min="13832" max="13833" width="13.42578125" style="25" customWidth="1"/>
    <col min="13834" max="13834" width="17.85546875" style="25" customWidth="1"/>
    <col min="13835" max="13835" width="16" style="25" customWidth="1"/>
    <col min="13836" max="13836" width="43.42578125" style="25" customWidth="1"/>
    <col min="13837" max="14084" width="9.140625" style="25"/>
    <col min="14085" max="14085" width="7" style="25" customWidth="1"/>
    <col min="14086" max="14086" width="10.7109375" style="25" customWidth="1"/>
    <col min="14087" max="14087" width="15.7109375" style="25" customWidth="1"/>
    <col min="14088" max="14089" width="13.42578125" style="25" customWidth="1"/>
    <col min="14090" max="14090" width="17.85546875" style="25" customWidth="1"/>
    <col min="14091" max="14091" width="16" style="25" customWidth="1"/>
    <col min="14092" max="14092" width="43.42578125" style="25" customWidth="1"/>
    <col min="14093" max="14340" width="9.140625" style="25"/>
    <col min="14341" max="14341" width="7" style="25" customWidth="1"/>
    <col min="14342" max="14342" width="10.7109375" style="25" customWidth="1"/>
    <col min="14343" max="14343" width="15.7109375" style="25" customWidth="1"/>
    <col min="14344" max="14345" width="13.42578125" style="25" customWidth="1"/>
    <col min="14346" max="14346" width="17.85546875" style="25" customWidth="1"/>
    <col min="14347" max="14347" width="16" style="25" customWidth="1"/>
    <col min="14348" max="14348" width="43.42578125" style="25" customWidth="1"/>
    <col min="14349" max="14596" width="9.140625" style="25"/>
    <col min="14597" max="14597" width="7" style="25" customWidth="1"/>
    <col min="14598" max="14598" width="10.7109375" style="25" customWidth="1"/>
    <col min="14599" max="14599" width="15.7109375" style="25" customWidth="1"/>
    <col min="14600" max="14601" width="13.42578125" style="25" customWidth="1"/>
    <col min="14602" max="14602" width="17.85546875" style="25" customWidth="1"/>
    <col min="14603" max="14603" width="16" style="25" customWidth="1"/>
    <col min="14604" max="14604" width="43.42578125" style="25" customWidth="1"/>
    <col min="14605" max="14852" width="9.140625" style="25"/>
    <col min="14853" max="14853" width="7" style="25" customWidth="1"/>
    <col min="14854" max="14854" width="10.7109375" style="25" customWidth="1"/>
    <col min="14855" max="14855" width="15.7109375" style="25" customWidth="1"/>
    <col min="14856" max="14857" width="13.42578125" style="25" customWidth="1"/>
    <col min="14858" max="14858" width="17.85546875" style="25" customWidth="1"/>
    <col min="14859" max="14859" width="16" style="25" customWidth="1"/>
    <col min="14860" max="14860" width="43.42578125" style="25" customWidth="1"/>
    <col min="14861" max="15108" width="9.140625" style="25"/>
    <col min="15109" max="15109" width="7" style="25" customWidth="1"/>
    <col min="15110" max="15110" width="10.7109375" style="25" customWidth="1"/>
    <col min="15111" max="15111" width="15.7109375" style="25" customWidth="1"/>
    <col min="15112" max="15113" width="13.42578125" style="25" customWidth="1"/>
    <col min="15114" max="15114" width="17.85546875" style="25" customWidth="1"/>
    <col min="15115" max="15115" width="16" style="25" customWidth="1"/>
    <col min="15116" max="15116" width="43.42578125" style="25" customWidth="1"/>
    <col min="15117" max="15364" width="9.140625" style="25"/>
    <col min="15365" max="15365" width="7" style="25" customWidth="1"/>
    <col min="15366" max="15366" width="10.7109375" style="25" customWidth="1"/>
    <col min="15367" max="15367" width="15.7109375" style="25" customWidth="1"/>
    <col min="15368" max="15369" width="13.42578125" style="25" customWidth="1"/>
    <col min="15370" max="15370" width="17.85546875" style="25" customWidth="1"/>
    <col min="15371" max="15371" width="16" style="25" customWidth="1"/>
    <col min="15372" max="15372" width="43.42578125" style="25" customWidth="1"/>
    <col min="15373" max="15620" width="9.140625" style="25"/>
    <col min="15621" max="15621" width="7" style="25" customWidth="1"/>
    <col min="15622" max="15622" width="10.7109375" style="25" customWidth="1"/>
    <col min="15623" max="15623" width="15.7109375" style="25" customWidth="1"/>
    <col min="15624" max="15625" width="13.42578125" style="25" customWidth="1"/>
    <col min="15626" max="15626" width="17.85546875" style="25" customWidth="1"/>
    <col min="15627" max="15627" width="16" style="25" customWidth="1"/>
    <col min="15628" max="15628" width="43.42578125" style="25" customWidth="1"/>
    <col min="15629" max="15876" width="9.140625" style="25"/>
    <col min="15877" max="15877" width="7" style="25" customWidth="1"/>
    <col min="15878" max="15878" width="10.7109375" style="25" customWidth="1"/>
    <col min="15879" max="15879" width="15.7109375" style="25" customWidth="1"/>
    <col min="15880" max="15881" width="13.42578125" style="25" customWidth="1"/>
    <col min="15882" max="15882" width="17.85546875" style="25" customWidth="1"/>
    <col min="15883" max="15883" width="16" style="25" customWidth="1"/>
    <col min="15884" max="15884" width="43.42578125" style="25" customWidth="1"/>
    <col min="15885" max="16132" width="9.140625" style="25"/>
    <col min="16133" max="16133" width="7" style="25" customWidth="1"/>
    <col min="16134" max="16134" width="10.7109375" style="25" customWidth="1"/>
    <col min="16135" max="16135" width="15.7109375" style="25" customWidth="1"/>
    <col min="16136" max="16137" width="13.42578125" style="25" customWidth="1"/>
    <col min="16138" max="16138" width="17.85546875" style="25" customWidth="1"/>
    <col min="16139" max="16139" width="16" style="25" customWidth="1"/>
    <col min="16140" max="16140" width="43.42578125" style="25" customWidth="1"/>
    <col min="16141" max="16384" width="9.140625" style="25"/>
  </cols>
  <sheetData>
    <row r="1" spans="1:12" ht="7.5" customHeight="1"/>
    <row r="2" spans="1:12" ht="35.25" customHeight="1">
      <c r="A2" s="2436" t="s">
        <v>149</v>
      </c>
      <c r="B2" s="2436"/>
      <c r="C2" s="2436"/>
      <c r="D2" s="2436"/>
      <c r="E2" s="2436"/>
      <c r="F2" s="2436"/>
      <c r="G2" s="2436"/>
      <c r="H2" s="2436"/>
      <c r="I2" s="2436"/>
      <c r="J2" s="2436"/>
      <c r="K2" s="2436"/>
      <c r="L2" s="2436"/>
    </row>
    <row r="3" spans="1:12" ht="18" customHeight="1" thickBot="1">
      <c r="A3" s="2437"/>
      <c r="B3" s="2437"/>
      <c r="C3" s="26"/>
      <c r="D3" s="26"/>
      <c r="E3" s="26"/>
      <c r="F3" s="26"/>
      <c r="G3" s="26"/>
      <c r="H3" s="26"/>
      <c r="I3" s="27"/>
      <c r="J3" s="27"/>
      <c r="K3" s="27"/>
      <c r="L3" s="28" t="s">
        <v>37</v>
      </c>
    </row>
    <row r="4" spans="1:12" ht="15.75" customHeight="1" thickBot="1">
      <c r="A4" s="2438" t="s">
        <v>0</v>
      </c>
      <c r="B4" s="2439" t="s">
        <v>44</v>
      </c>
      <c r="C4" s="2442" t="s">
        <v>45</v>
      </c>
      <c r="D4" s="2445" t="s">
        <v>8</v>
      </c>
      <c r="E4" s="2446" t="s">
        <v>102</v>
      </c>
      <c r="F4" s="2447"/>
      <c r="G4" s="2445" t="s">
        <v>8</v>
      </c>
      <c r="H4" s="2450" t="s">
        <v>46</v>
      </c>
      <c r="I4" s="2445"/>
      <c r="J4" s="2445"/>
      <c r="K4" s="2451"/>
      <c r="L4" s="2452" t="s">
        <v>150</v>
      </c>
    </row>
    <row r="5" spans="1:12" ht="18" customHeight="1" thickBot="1">
      <c r="A5" s="2438"/>
      <c r="B5" s="2440"/>
      <c r="C5" s="2443"/>
      <c r="D5" s="2445"/>
      <c r="E5" s="2448"/>
      <c r="F5" s="2449"/>
      <c r="G5" s="2445"/>
      <c r="H5" s="2453" t="s">
        <v>47</v>
      </c>
      <c r="I5" s="2453" t="s">
        <v>48</v>
      </c>
      <c r="J5" s="2450" t="s">
        <v>49</v>
      </c>
      <c r="K5" s="2451"/>
      <c r="L5" s="2452"/>
    </row>
    <row r="6" spans="1:12" ht="30" customHeight="1" thickBot="1">
      <c r="A6" s="2438"/>
      <c r="B6" s="2441"/>
      <c r="C6" s="2444"/>
      <c r="D6" s="2445"/>
      <c r="E6" s="168" t="s">
        <v>47</v>
      </c>
      <c r="F6" s="172" t="s">
        <v>48</v>
      </c>
      <c r="G6" s="2445"/>
      <c r="H6" s="2454"/>
      <c r="I6" s="2454"/>
      <c r="J6" s="173" t="s">
        <v>50</v>
      </c>
      <c r="K6" s="173" t="s">
        <v>51</v>
      </c>
      <c r="L6" s="2452"/>
    </row>
    <row r="7" spans="1:12" s="29" customFormat="1" ht="30" customHeight="1" thickBot="1">
      <c r="A7" s="178" t="s">
        <v>5</v>
      </c>
      <c r="B7" s="179"/>
      <c r="C7" s="180" t="s">
        <v>52</v>
      </c>
      <c r="D7" s="181"/>
      <c r="E7" s="182">
        <f>SUM(E8)</f>
        <v>8000000</v>
      </c>
      <c r="F7" s="183">
        <f>SUM(F8)</f>
        <v>11599535</v>
      </c>
      <c r="G7" s="184"/>
      <c r="H7" s="182">
        <f>SUM(H8)</f>
        <v>11528769</v>
      </c>
      <c r="I7" s="185">
        <f>SUM(I8)</f>
        <v>11265272</v>
      </c>
      <c r="J7" s="185">
        <f>SUM(J8)</f>
        <v>3147977</v>
      </c>
      <c r="K7" s="183">
        <f>SUM(K8)</f>
        <v>8117295</v>
      </c>
      <c r="L7" s="2424" t="s">
        <v>192</v>
      </c>
    </row>
    <row r="8" spans="1:12" s="30" customFormat="1" ht="31.5" customHeight="1">
      <c r="A8" s="2426"/>
      <c r="B8" s="186" t="s">
        <v>9</v>
      </c>
      <c r="C8" s="187" t="s">
        <v>10</v>
      </c>
      <c r="D8" s="188"/>
      <c r="E8" s="189">
        <f>SUM(E9:E15)</f>
        <v>8000000</v>
      </c>
      <c r="F8" s="190">
        <f>SUM(F9:F15)</f>
        <v>11599535</v>
      </c>
      <c r="G8" s="188"/>
      <c r="H8" s="189">
        <f>SUM(H9:H15)</f>
        <v>11528769</v>
      </c>
      <c r="I8" s="191">
        <f>SUM(I9:I15)</f>
        <v>11265272</v>
      </c>
      <c r="J8" s="191">
        <f>SUM(J9:J15)</f>
        <v>3147977</v>
      </c>
      <c r="K8" s="190">
        <f>SUM(K9:K15)</f>
        <v>8117295</v>
      </c>
      <c r="L8" s="2414"/>
    </row>
    <row r="9" spans="1:12" s="30" customFormat="1">
      <c r="A9" s="2426"/>
      <c r="B9" s="2415"/>
      <c r="C9" s="2427"/>
      <c r="D9" s="192" t="s">
        <v>151</v>
      </c>
      <c r="E9" s="319">
        <v>8000000</v>
      </c>
      <c r="F9" s="320">
        <v>11535246</v>
      </c>
      <c r="G9" s="192" t="s">
        <v>16</v>
      </c>
      <c r="H9" s="193">
        <v>2962500</v>
      </c>
      <c r="I9" s="36">
        <f>SUM(J9:K9)</f>
        <v>2919047</v>
      </c>
      <c r="J9" s="47">
        <v>2919047</v>
      </c>
      <c r="K9" s="194"/>
      <c r="L9" s="2414"/>
    </row>
    <row r="10" spans="1:12" s="30" customFormat="1">
      <c r="A10" s="2426"/>
      <c r="B10" s="2416"/>
      <c r="C10" s="2428"/>
      <c r="D10" s="308" t="s">
        <v>152</v>
      </c>
      <c r="E10" s="319">
        <v>0</v>
      </c>
      <c r="F10" s="320">
        <v>56891</v>
      </c>
      <c r="G10" s="192" t="s">
        <v>17</v>
      </c>
      <c r="H10" s="193">
        <v>70000</v>
      </c>
      <c r="I10" s="36">
        <f t="shared" ref="I10:I15" si="0">SUM(J10:K10)</f>
        <v>66732</v>
      </c>
      <c r="J10" s="47">
        <v>66732</v>
      </c>
      <c r="K10" s="194"/>
      <c r="L10" s="2414"/>
    </row>
    <row r="11" spans="1:12" s="30" customFormat="1">
      <c r="A11" s="2426"/>
      <c r="B11" s="2416"/>
      <c r="C11" s="2428"/>
      <c r="D11" s="308" t="s">
        <v>191</v>
      </c>
      <c r="E11" s="319">
        <v>0</v>
      </c>
      <c r="F11" s="320">
        <v>2624</v>
      </c>
      <c r="G11" s="192" t="s">
        <v>143</v>
      </c>
      <c r="H11" s="193">
        <v>157000</v>
      </c>
      <c r="I11" s="36">
        <f t="shared" si="0"/>
        <v>153342</v>
      </c>
      <c r="J11" s="47">
        <v>153342</v>
      </c>
      <c r="K11" s="194"/>
      <c r="L11" s="2414"/>
    </row>
    <row r="12" spans="1:12" s="30" customFormat="1">
      <c r="A12" s="2426"/>
      <c r="B12" s="2416"/>
      <c r="C12" s="2428"/>
      <c r="D12" s="308" t="s">
        <v>174</v>
      </c>
      <c r="E12" s="319">
        <v>0</v>
      </c>
      <c r="F12" s="320">
        <v>4774</v>
      </c>
      <c r="G12" s="192" t="s">
        <v>25</v>
      </c>
      <c r="H12" s="193">
        <v>25000</v>
      </c>
      <c r="I12" s="36">
        <f t="shared" si="0"/>
        <v>8856</v>
      </c>
      <c r="J12" s="47">
        <v>8856</v>
      </c>
      <c r="K12" s="194"/>
      <c r="L12" s="2414"/>
    </row>
    <row r="13" spans="1:12" s="30" customFormat="1">
      <c r="A13" s="2426"/>
      <c r="B13" s="2416"/>
      <c r="C13" s="2428"/>
      <c r="D13" s="308"/>
      <c r="E13" s="319"/>
      <c r="F13" s="320"/>
      <c r="G13" s="192" t="s">
        <v>144</v>
      </c>
      <c r="H13" s="193">
        <v>73000</v>
      </c>
      <c r="I13" s="36">
        <f t="shared" si="0"/>
        <v>67408</v>
      </c>
      <c r="J13" s="47"/>
      <c r="K13" s="194">
        <v>67408</v>
      </c>
      <c r="L13" s="2414"/>
    </row>
    <row r="14" spans="1:12" s="30" customFormat="1">
      <c r="A14" s="2426"/>
      <c r="B14" s="2416"/>
      <c r="C14" s="2428"/>
      <c r="D14" s="195"/>
      <c r="E14" s="196"/>
      <c r="F14" s="197"/>
      <c r="G14" s="192" t="s">
        <v>18</v>
      </c>
      <c r="H14" s="193">
        <v>8146300</v>
      </c>
      <c r="I14" s="36">
        <f t="shared" si="0"/>
        <v>7994887</v>
      </c>
      <c r="J14" s="47"/>
      <c r="K14" s="194">
        <v>7994887</v>
      </c>
      <c r="L14" s="2414"/>
    </row>
    <row r="15" spans="1:12" s="30" customFormat="1" ht="18" customHeight="1" thickBot="1">
      <c r="A15" s="2426"/>
      <c r="B15" s="2416"/>
      <c r="C15" s="2428"/>
      <c r="D15" s="198"/>
      <c r="E15" s="199"/>
      <c r="F15" s="200"/>
      <c r="G15" s="329" t="s">
        <v>21</v>
      </c>
      <c r="H15" s="321">
        <v>94969</v>
      </c>
      <c r="I15" s="36">
        <f t="shared" si="0"/>
        <v>55000</v>
      </c>
      <c r="J15" s="47"/>
      <c r="K15" s="194">
        <v>55000</v>
      </c>
      <c r="L15" s="2425"/>
    </row>
    <row r="16" spans="1:12" ht="75.75" thickBot="1">
      <c r="A16" s="178" t="s">
        <v>153</v>
      </c>
      <c r="B16" s="201"/>
      <c r="C16" s="202" t="s">
        <v>154</v>
      </c>
      <c r="D16" s="203"/>
      <c r="E16" s="182">
        <f>SUM(E17)</f>
        <v>440200</v>
      </c>
      <c r="F16" s="183">
        <f t="shared" ref="F16:K16" si="1">SUM(F17)</f>
        <v>530550</v>
      </c>
      <c r="G16" s="204"/>
      <c r="H16" s="182">
        <f>SUM(H17)</f>
        <v>0</v>
      </c>
      <c r="I16" s="185">
        <f t="shared" si="1"/>
        <v>0</v>
      </c>
      <c r="J16" s="185">
        <f t="shared" si="1"/>
        <v>0</v>
      </c>
      <c r="K16" s="183">
        <f t="shared" si="1"/>
        <v>0</v>
      </c>
      <c r="L16" s="2410" t="s">
        <v>190</v>
      </c>
    </row>
    <row r="17" spans="1:14" s="30" customFormat="1" ht="51" customHeight="1">
      <c r="A17" s="2409"/>
      <c r="B17" s="186" t="s">
        <v>155</v>
      </c>
      <c r="C17" s="205" t="s">
        <v>156</v>
      </c>
      <c r="D17" s="188"/>
      <c r="E17" s="189">
        <f>SUM(E18:E18)</f>
        <v>440200</v>
      </c>
      <c r="F17" s="190">
        <f>SUM(F18:F18)</f>
        <v>530550</v>
      </c>
      <c r="G17" s="206"/>
      <c r="H17" s="189">
        <f>SUM(H18:H18)</f>
        <v>0</v>
      </c>
      <c r="I17" s="191">
        <f>SUM(I18:I18)</f>
        <v>0</v>
      </c>
      <c r="J17" s="191">
        <f>SUM(J18:J18)</f>
        <v>0</v>
      </c>
      <c r="K17" s="190">
        <f>SUM(K18:K18)</f>
        <v>0</v>
      </c>
      <c r="L17" s="2414"/>
    </row>
    <row r="18" spans="1:14" s="30" customFormat="1" ht="21" customHeight="1" thickBot="1">
      <c r="A18" s="2409"/>
      <c r="B18" s="207"/>
      <c r="C18" s="208"/>
      <c r="D18" s="96" t="s">
        <v>157</v>
      </c>
      <c r="E18" s="176">
        <v>440200</v>
      </c>
      <c r="F18" s="175">
        <v>530550</v>
      </c>
      <c r="G18" s="96"/>
      <c r="H18" s="209">
        <v>0</v>
      </c>
      <c r="I18" s="36">
        <v>0</v>
      </c>
      <c r="J18" s="47">
        <v>0</v>
      </c>
      <c r="K18" s="194">
        <v>0</v>
      </c>
      <c r="L18" s="2414"/>
    </row>
    <row r="19" spans="1:14" ht="30" customHeight="1" thickBot="1">
      <c r="A19" s="178" t="s">
        <v>119</v>
      </c>
      <c r="B19" s="201"/>
      <c r="C19" s="202" t="s">
        <v>120</v>
      </c>
      <c r="D19" s="210"/>
      <c r="E19" s="182">
        <f>SUM(E22,E20)</f>
        <v>0</v>
      </c>
      <c r="F19" s="183">
        <f>SUM(F22,F20)</f>
        <v>4203</v>
      </c>
      <c r="G19" s="204"/>
      <c r="H19" s="182">
        <f>SUM(H22,H20)</f>
        <v>446289</v>
      </c>
      <c r="I19" s="185">
        <f>SUM(I22,I20)</f>
        <v>302450</v>
      </c>
      <c r="J19" s="185">
        <f>SUM(J22,J20)</f>
        <v>302450</v>
      </c>
      <c r="K19" s="183">
        <f>SUM(K22,K20)</f>
        <v>0</v>
      </c>
      <c r="L19" s="2414"/>
    </row>
    <row r="20" spans="1:14" s="30" customFormat="1" ht="24.75" customHeight="1">
      <c r="A20" s="2430"/>
      <c r="B20" s="186" t="s">
        <v>158</v>
      </c>
      <c r="C20" s="205" t="s">
        <v>159</v>
      </c>
      <c r="D20" s="211"/>
      <c r="E20" s="212">
        <f>SUM(E21:E22)</f>
        <v>0</v>
      </c>
      <c r="F20" s="213">
        <f>SUM(F21)</f>
        <v>2122</v>
      </c>
      <c r="G20" s="214"/>
      <c r="H20" s="215">
        <f>SUM(H21:H21)</f>
        <v>100000</v>
      </c>
      <c r="I20" s="215">
        <f>SUM(I21:I21)</f>
        <v>77208</v>
      </c>
      <c r="J20" s="215">
        <f>SUM(J21:J21)</f>
        <v>77208</v>
      </c>
      <c r="K20" s="216">
        <f t="shared" ref="K20" si="2">SUM(K21)</f>
        <v>0</v>
      </c>
      <c r="L20" s="2429"/>
    </row>
    <row r="21" spans="1:14" s="24" customFormat="1" ht="17.25" customHeight="1" thickBot="1">
      <c r="A21" s="2430"/>
      <c r="B21" s="330"/>
      <c r="C21" s="331"/>
      <c r="D21" s="309" t="s">
        <v>160</v>
      </c>
      <c r="E21" s="223">
        <v>0</v>
      </c>
      <c r="F21" s="340">
        <v>2122</v>
      </c>
      <c r="G21" s="42" t="s">
        <v>125</v>
      </c>
      <c r="H21" s="332">
        <v>100000</v>
      </c>
      <c r="I21" s="333">
        <f>J21+K21</f>
        <v>77208</v>
      </c>
      <c r="J21" s="333">
        <v>77208</v>
      </c>
      <c r="K21" s="334">
        <v>0</v>
      </c>
      <c r="L21" s="2429"/>
    </row>
    <row r="22" spans="1:14" s="30" customFormat="1" ht="24.75" customHeight="1">
      <c r="A22" s="2430"/>
      <c r="B22" s="186" t="s">
        <v>161</v>
      </c>
      <c r="C22" s="205" t="s">
        <v>162</v>
      </c>
      <c r="D22" s="211"/>
      <c r="E22" s="212">
        <f>SUM(E23:E25)</f>
        <v>0</v>
      </c>
      <c r="F22" s="213">
        <f>SUM(F23)</f>
        <v>2081</v>
      </c>
      <c r="G22" s="313"/>
      <c r="H22" s="240">
        <f>SUM(H23:H26)</f>
        <v>346289</v>
      </c>
      <c r="I22" s="191">
        <f>SUM(I23:I26)</f>
        <v>225242</v>
      </c>
      <c r="J22" s="338">
        <f>SUM(J23:J26)</f>
        <v>225242</v>
      </c>
      <c r="K22" s="339">
        <f>SUM(K23)</f>
        <v>0</v>
      </c>
      <c r="L22" s="2429"/>
      <c r="N22" s="141"/>
    </row>
    <row r="23" spans="1:14" s="24" customFormat="1" ht="14.25" customHeight="1">
      <c r="A23" s="2430"/>
      <c r="B23" s="2431"/>
      <c r="C23" s="2412"/>
      <c r="D23" s="308" t="s">
        <v>160</v>
      </c>
      <c r="E23" s="193">
        <v>0</v>
      </c>
      <c r="F23" s="217">
        <v>2081</v>
      </c>
      <c r="G23" s="267" t="s">
        <v>125</v>
      </c>
      <c r="H23" s="193">
        <v>326289</v>
      </c>
      <c r="I23" s="324">
        <f>SUM(J23:K23)</f>
        <v>205311</v>
      </c>
      <c r="J23" s="325">
        <v>205311</v>
      </c>
      <c r="K23" s="335">
        <v>0</v>
      </c>
      <c r="L23" s="2429"/>
    </row>
    <row r="24" spans="1:14" s="24" customFormat="1" ht="14.25" customHeight="1">
      <c r="A24" s="2430"/>
      <c r="B24" s="2432"/>
      <c r="C24" s="2413"/>
      <c r="D24" s="341"/>
      <c r="E24" s="245"/>
      <c r="F24" s="246"/>
      <c r="G24" s="267" t="s">
        <v>163</v>
      </c>
      <c r="H24" s="336">
        <v>18000</v>
      </c>
      <c r="I24" s="324">
        <f>SUM(J24:K24)</f>
        <v>17935</v>
      </c>
      <c r="J24" s="337">
        <v>17935</v>
      </c>
      <c r="K24" s="314"/>
      <c r="L24" s="2429"/>
    </row>
    <row r="25" spans="1:14" s="24" customFormat="1" ht="15" customHeight="1" thickBot="1">
      <c r="A25" s="2430"/>
      <c r="B25" s="2432"/>
      <c r="C25" s="2413"/>
      <c r="D25" s="198"/>
      <c r="E25" s="303"/>
      <c r="F25" s="301"/>
      <c r="G25" s="305" t="s">
        <v>143</v>
      </c>
      <c r="H25" s="176">
        <v>2000</v>
      </c>
      <c r="I25" s="324">
        <f>SUM(J25:K25)</f>
        <v>1996</v>
      </c>
      <c r="J25" s="323">
        <v>1996</v>
      </c>
      <c r="K25" s="311">
        <v>0</v>
      </c>
      <c r="L25" s="2429"/>
      <c r="N25" s="34"/>
    </row>
    <row r="26" spans="1:14" s="24" customFormat="1" ht="15" hidden="1" customHeight="1" thickBot="1">
      <c r="A26" s="221"/>
      <c r="B26" s="169"/>
      <c r="C26" s="222"/>
      <c r="D26" s="198"/>
      <c r="E26" s="219"/>
      <c r="F26" s="220"/>
      <c r="G26" s="42" t="s">
        <v>164</v>
      </c>
      <c r="H26" s="223">
        <v>0</v>
      </c>
      <c r="I26" s="31">
        <f>SUM(J26:K26)</f>
        <v>0</v>
      </c>
      <c r="J26" s="224">
        <v>0</v>
      </c>
      <c r="K26" s="41">
        <v>0</v>
      </c>
      <c r="L26" s="2429"/>
    </row>
    <row r="27" spans="1:14" s="24" customFormat="1" ht="30" customHeight="1" thickBot="1">
      <c r="A27" s="178" t="s">
        <v>15</v>
      </c>
      <c r="B27" s="201"/>
      <c r="C27" s="202" t="s">
        <v>53</v>
      </c>
      <c r="D27" s="225"/>
      <c r="E27" s="182">
        <f>SUM(E28)</f>
        <v>0</v>
      </c>
      <c r="F27" s="183">
        <f>SUM(F28)</f>
        <v>0</v>
      </c>
      <c r="G27" s="225"/>
      <c r="H27" s="226">
        <f>SUM(H28+H30)</f>
        <v>270700</v>
      </c>
      <c r="I27" s="185">
        <f t="shared" ref="I27:J27" si="3">SUM(I28+I30)</f>
        <v>268255</v>
      </c>
      <c r="J27" s="204">
        <f t="shared" si="3"/>
        <v>100000</v>
      </c>
      <c r="K27" s="183">
        <f>SUM(K28+K30)</f>
        <v>168255</v>
      </c>
      <c r="L27" s="2414"/>
      <c r="N27" s="34"/>
    </row>
    <row r="28" spans="1:14" s="24" customFormat="1" ht="33" customHeight="1">
      <c r="A28" s="2433"/>
      <c r="B28" s="186" t="s">
        <v>165</v>
      </c>
      <c r="C28" s="205" t="s">
        <v>166</v>
      </c>
      <c r="D28" s="211"/>
      <c r="E28" s="212">
        <f>SUM(E29)</f>
        <v>0</v>
      </c>
      <c r="F28" s="213">
        <f>SUM(F29)</f>
        <v>0</v>
      </c>
      <c r="G28" s="211"/>
      <c r="H28" s="212">
        <f>H29</f>
        <v>100000</v>
      </c>
      <c r="I28" s="227">
        <f>I29</f>
        <v>100000</v>
      </c>
      <c r="J28" s="227">
        <f>J29</f>
        <v>100000</v>
      </c>
      <c r="K28" s="213">
        <f>K29</f>
        <v>0</v>
      </c>
      <c r="L28" s="2414"/>
    </row>
    <row r="29" spans="1:14" s="24" customFormat="1" ht="30.75" customHeight="1">
      <c r="A29" s="2434"/>
      <c r="B29" s="169"/>
      <c r="C29" s="222"/>
      <c r="D29" s="198"/>
      <c r="E29" s="303"/>
      <c r="F29" s="301"/>
      <c r="G29" s="96" t="s">
        <v>125</v>
      </c>
      <c r="H29" s="176">
        <v>100000</v>
      </c>
      <c r="I29" s="322">
        <f>SUM(J29:K29)</f>
        <v>100000</v>
      </c>
      <c r="J29" s="323">
        <v>100000</v>
      </c>
      <c r="K29" s="311">
        <v>0</v>
      </c>
      <c r="L29" s="2414"/>
    </row>
    <row r="30" spans="1:14" s="24" customFormat="1" ht="28.5" customHeight="1">
      <c r="A30" s="2434"/>
      <c r="B30" s="228" t="s">
        <v>33</v>
      </c>
      <c r="C30" s="229" t="s">
        <v>64</v>
      </c>
      <c r="D30" s="230"/>
      <c r="E30" s="231"/>
      <c r="F30" s="232"/>
      <c r="G30" s="230"/>
      <c r="H30" s="233">
        <f>H31</f>
        <v>170700</v>
      </c>
      <c r="I30" s="234">
        <f t="shared" ref="I30:J30" si="4">I31</f>
        <v>168255</v>
      </c>
      <c r="J30" s="234">
        <f t="shared" si="4"/>
        <v>0</v>
      </c>
      <c r="K30" s="235">
        <f>K31</f>
        <v>168255</v>
      </c>
      <c r="L30" s="2414"/>
      <c r="N30" s="34"/>
    </row>
    <row r="31" spans="1:14" s="24" customFormat="1" ht="30.75" customHeight="1" thickBot="1">
      <c r="A31" s="2435"/>
      <c r="B31" s="170"/>
      <c r="C31" s="236"/>
      <c r="D31" s="38"/>
      <c r="E31" s="177"/>
      <c r="F31" s="302"/>
      <c r="G31" s="38" t="s">
        <v>194</v>
      </c>
      <c r="H31" s="177">
        <v>170700</v>
      </c>
      <c r="I31" s="31">
        <f t="shared" ref="I31" si="5">SUM(J31:K31)</f>
        <v>168255</v>
      </c>
      <c r="J31" s="342">
        <v>0</v>
      </c>
      <c r="K31" s="312">
        <v>168255</v>
      </c>
      <c r="L31" s="2425"/>
    </row>
    <row r="32" spans="1:14" s="239" customFormat="1" ht="30" customHeight="1" thickBot="1">
      <c r="A32" s="178" t="s">
        <v>27</v>
      </c>
      <c r="B32" s="237"/>
      <c r="C32" s="202" t="s">
        <v>54</v>
      </c>
      <c r="D32" s="238"/>
      <c r="E32" s="182">
        <f>SUM(E33,E39,E44)</f>
        <v>643500</v>
      </c>
      <c r="F32" s="183">
        <f>SUM(F33,F39,F44)</f>
        <v>700769</v>
      </c>
      <c r="G32" s="204"/>
      <c r="H32" s="182">
        <f>SUM(H33,H39,H44)</f>
        <v>738994</v>
      </c>
      <c r="I32" s="185">
        <f>SUM(I33,I39,I44)</f>
        <v>703201</v>
      </c>
      <c r="J32" s="185">
        <f>SUM(J33,J39,J44)</f>
        <v>703201</v>
      </c>
      <c r="K32" s="525">
        <f>SUM(K33,K39,K44)</f>
        <v>0</v>
      </c>
      <c r="L32" s="530"/>
    </row>
    <row r="33" spans="1:12" s="30" customFormat="1" ht="52.5" customHeight="1">
      <c r="A33" s="2409"/>
      <c r="B33" s="186" t="s">
        <v>167</v>
      </c>
      <c r="C33" s="205" t="s">
        <v>168</v>
      </c>
      <c r="D33" s="211"/>
      <c r="E33" s="189">
        <f>SUM(E34:E36)</f>
        <v>635000</v>
      </c>
      <c r="F33" s="190">
        <f>SUM(F34:F36)</f>
        <v>678757</v>
      </c>
      <c r="G33" s="206"/>
      <c r="H33" s="240">
        <f>SUM(H34:H38)</f>
        <v>719103</v>
      </c>
      <c r="I33" s="191">
        <f>SUM(I34:I38)</f>
        <v>698888</v>
      </c>
      <c r="J33" s="191">
        <f>SUM(J34:J38)</f>
        <v>698888</v>
      </c>
      <c r="K33" s="526">
        <f>SUM(K34:K38)</f>
        <v>0</v>
      </c>
      <c r="L33" s="2410" t="s">
        <v>193</v>
      </c>
    </row>
    <row r="34" spans="1:12" s="24" customFormat="1" ht="14.25" customHeight="1">
      <c r="A34" s="2409"/>
      <c r="B34" s="241"/>
      <c r="C34" s="2412"/>
      <c r="D34" s="192" t="s">
        <v>151</v>
      </c>
      <c r="E34" s="193">
        <v>635000</v>
      </c>
      <c r="F34" s="243">
        <v>678757</v>
      </c>
      <c r="G34" s="96" t="s">
        <v>145</v>
      </c>
      <c r="H34" s="321">
        <v>570895</v>
      </c>
      <c r="I34" s="322">
        <f>SUM(J34:K34)</f>
        <v>570895</v>
      </c>
      <c r="J34" s="323">
        <v>570895</v>
      </c>
      <c r="K34" s="116">
        <v>0</v>
      </c>
      <c r="L34" s="2411"/>
    </row>
    <row r="35" spans="1:12" s="24" customFormat="1" ht="15" customHeight="1">
      <c r="A35" s="2409"/>
      <c r="B35" s="242"/>
      <c r="C35" s="2413"/>
      <c r="D35" s="244"/>
      <c r="E35" s="245"/>
      <c r="F35" s="315"/>
      <c r="G35" s="192" t="s">
        <v>146</v>
      </c>
      <c r="H35" s="193">
        <v>99216</v>
      </c>
      <c r="I35" s="324">
        <f t="shared" ref="I35:I38" si="6">SUM(J35:K35)</f>
        <v>99216</v>
      </c>
      <c r="J35" s="325">
        <v>99216</v>
      </c>
      <c r="K35" s="348">
        <v>0</v>
      </c>
      <c r="L35" s="2411"/>
    </row>
    <row r="36" spans="1:12" s="24" customFormat="1" ht="15" customHeight="1">
      <c r="A36" s="2409"/>
      <c r="B36" s="242"/>
      <c r="C36" s="2413"/>
      <c r="D36" s="244"/>
      <c r="E36" s="245"/>
      <c r="F36" s="246"/>
      <c r="G36" s="192" t="s">
        <v>147</v>
      </c>
      <c r="H36" s="193">
        <v>13970</v>
      </c>
      <c r="I36" s="324">
        <f t="shared" si="6"/>
        <v>13755</v>
      </c>
      <c r="J36" s="325">
        <v>13755</v>
      </c>
      <c r="K36" s="348">
        <v>0</v>
      </c>
      <c r="L36" s="2411"/>
    </row>
    <row r="37" spans="1:12" s="24" customFormat="1" ht="15" customHeight="1">
      <c r="A37" s="2409"/>
      <c r="B37" s="242"/>
      <c r="C37" s="222"/>
      <c r="D37" s="244"/>
      <c r="E37" s="245"/>
      <c r="F37" s="246"/>
      <c r="G37" s="192" t="s">
        <v>148</v>
      </c>
      <c r="H37" s="193">
        <v>15022</v>
      </c>
      <c r="I37" s="324">
        <f t="shared" si="6"/>
        <v>15022</v>
      </c>
      <c r="J37" s="325">
        <v>15022</v>
      </c>
      <c r="K37" s="348">
        <v>0</v>
      </c>
      <c r="L37" s="480"/>
    </row>
    <row r="38" spans="1:12" s="24" customFormat="1" ht="15" customHeight="1">
      <c r="A38" s="2409"/>
      <c r="B38" s="242"/>
      <c r="C38" s="222"/>
      <c r="D38" s="244"/>
      <c r="E38" s="245"/>
      <c r="F38" s="246"/>
      <c r="G38" s="192" t="s">
        <v>144</v>
      </c>
      <c r="H38" s="193">
        <v>20000</v>
      </c>
      <c r="I38" s="324">
        <f t="shared" si="6"/>
        <v>0</v>
      </c>
      <c r="J38" s="325">
        <v>0</v>
      </c>
      <c r="K38" s="348">
        <v>0</v>
      </c>
      <c r="L38" s="480"/>
    </row>
    <row r="39" spans="1:12" s="32" customFormat="1" ht="51.75" customHeight="1">
      <c r="A39" s="2409"/>
      <c r="B39" s="228" t="s">
        <v>169</v>
      </c>
      <c r="C39" s="247" t="s">
        <v>170</v>
      </c>
      <c r="D39" s="230"/>
      <c r="E39" s="248">
        <f>SUM(E40:E43)</f>
        <v>7000</v>
      </c>
      <c r="F39" s="249">
        <f>SUM(F40:F43)</f>
        <v>20576</v>
      </c>
      <c r="G39" s="250"/>
      <c r="H39" s="248">
        <f>SUM(H40:H43)</f>
        <v>17057</v>
      </c>
      <c r="I39" s="218">
        <f>SUM(I40:I43)</f>
        <v>1479</v>
      </c>
      <c r="J39" s="218">
        <f>SUM(J40:J43)</f>
        <v>1479</v>
      </c>
      <c r="K39" s="527">
        <f>SUM(K40:K43)</f>
        <v>0</v>
      </c>
      <c r="L39" s="2410" t="s">
        <v>171</v>
      </c>
    </row>
    <row r="40" spans="1:12" s="33" customFormat="1" ht="14.25" customHeight="1">
      <c r="A40" s="2409"/>
      <c r="B40" s="2415"/>
      <c r="C40" s="2417"/>
      <c r="D40" s="300" t="s">
        <v>172</v>
      </c>
      <c r="E40" s="193">
        <v>6000</v>
      </c>
      <c r="F40" s="217">
        <v>19989</v>
      </c>
      <c r="G40" s="308" t="s">
        <v>143</v>
      </c>
      <c r="H40" s="193">
        <v>17057</v>
      </c>
      <c r="I40" s="160">
        <f>SUM(J40:K40)</f>
        <v>1479</v>
      </c>
      <c r="J40" s="160">
        <v>1479</v>
      </c>
      <c r="K40" s="95">
        <v>0</v>
      </c>
      <c r="L40" s="2414"/>
    </row>
    <row r="41" spans="1:12" s="33" customFormat="1" ht="14.25" customHeight="1">
      <c r="A41" s="2409"/>
      <c r="B41" s="2416"/>
      <c r="C41" s="2418"/>
      <c r="D41" s="300" t="s">
        <v>173</v>
      </c>
      <c r="E41" s="193">
        <v>900</v>
      </c>
      <c r="F41" s="217">
        <v>572</v>
      </c>
      <c r="G41" s="195"/>
      <c r="H41" s="245"/>
      <c r="I41" s="160">
        <f>SUM(J41:K41)</f>
        <v>0</v>
      </c>
      <c r="J41" s="160">
        <v>0</v>
      </c>
      <c r="K41" s="95">
        <v>0</v>
      </c>
      <c r="L41" s="2414"/>
    </row>
    <row r="42" spans="1:12" s="33" customFormat="1" ht="39" customHeight="1">
      <c r="A42" s="2409"/>
      <c r="B42" s="2416"/>
      <c r="C42" s="2418"/>
      <c r="D42" s="300" t="s">
        <v>174</v>
      </c>
      <c r="E42" s="193">
        <v>100</v>
      </c>
      <c r="F42" s="217">
        <v>15</v>
      </c>
      <c r="G42" s="195"/>
      <c r="H42" s="245"/>
      <c r="I42" s="160">
        <f>SUM(J42:K42)</f>
        <v>0</v>
      </c>
      <c r="J42" s="160">
        <v>0</v>
      </c>
      <c r="K42" s="95">
        <v>0</v>
      </c>
      <c r="L42" s="2414"/>
    </row>
    <row r="43" spans="1:12" s="33" customFormat="1" ht="75.75" hidden="1" customHeight="1">
      <c r="A43" s="2409"/>
      <c r="B43" s="2416"/>
      <c r="C43" s="2418"/>
      <c r="D43" s="195"/>
      <c r="E43" s="245"/>
      <c r="F43" s="246"/>
      <c r="G43" s="171" t="s">
        <v>144</v>
      </c>
      <c r="H43" s="193"/>
      <c r="I43" s="160">
        <f t="shared" ref="I43" si="7">SUM(J43:K43)</f>
        <v>0</v>
      </c>
      <c r="J43" s="160">
        <v>0</v>
      </c>
      <c r="K43" s="95">
        <v>0</v>
      </c>
      <c r="L43" s="2414"/>
    </row>
    <row r="44" spans="1:12" s="32" customFormat="1" ht="45">
      <c r="A44" s="2409"/>
      <c r="B44" s="228" t="s">
        <v>175</v>
      </c>
      <c r="C44" s="247" t="s">
        <v>176</v>
      </c>
      <c r="D44" s="211"/>
      <c r="E44" s="248">
        <f>SUM(E45:E48)</f>
        <v>1500</v>
      </c>
      <c r="F44" s="249">
        <f>SUM(F45:F48)</f>
        <v>1436</v>
      </c>
      <c r="G44" s="250"/>
      <c r="H44" s="248">
        <f>SUM(H45:H48)</f>
        <v>2834</v>
      </c>
      <c r="I44" s="251">
        <f>SUM(I45:I48)</f>
        <v>2834</v>
      </c>
      <c r="J44" s="227">
        <f>SUM(J45:J48)</f>
        <v>2834</v>
      </c>
      <c r="K44" s="528">
        <f>SUM(K45:K48)</f>
        <v>0</v>
      </c>
      <c r="L44" s="2410" t="s">
        <v>177</v>
      </c>
    </row>
    <row r="45" spans="1:12" s="32" customFormat="1">
      <c r="A45" s="2409"/>
      <c r="B45" s="2420"/>
      <c r="C45" s="2422"/>
      <c r="D45" s="300" t="s">
        <v>172</v>
      </c>
      <c r="E45" s="252">
        <v>100</v>
      </c>
      <c r="F45" s="253">
        <v>0</v>
      </c>
      <c r="G45" s="326">
        <v>4010</v>
      </c>
      <c r="H45" s="252">
        <v>1113</v>
      </c>
      <c r="I45" s="327">
        <f>SUM(J45:K45)</f>
        <v>1113</v>
      </c>
      <c r="J45" s="160">
        <v>1113</v>
      </c>
      <c r="K45" s="529">
        <v>0</v>
      </c>
      <c r="L45" s="2414"/>
    </row>
    <row r="46" spans="1:12" s="32" customFormat="1">
      <c r="A46" s="2409"/>
      <c r="B46" s="2421"/>
      <c r="C46" s="2423"/>
      <c r="D46" s="300" t="s">
        <v>151</v>
      </c>
      <c r="E46" s="252">
        <v>1300</v>
      </c>
      <c r="F46" s="253">
        <v>1100</v>
      </c>
      <c r="G46" s="326">
        <v>4110</v>
      </c>
      <c r="H46" s="252">
        <v>194</v>
      </c>
      <c r="I46" s="327">
        <f t="shared" ref="I46:I48" si="8">SUM(J46:K46)</f>
        <v>194</v>
      </c>
      <c r="J46" s="160">
        <v>194</v>
      </c>
      <c r="K46" s="529">
        <v>0</v>
      </c>
      <c r="L46" s="2414"/>
    </row>
    <row r="47" spans="1:12" s="32" customFormat="1">
      <c r="A47" s="2409"/>
      <c r="B47" s="2421"/>
      <c r="C47" s="2423"/>
      <c r="D47" s="300" t="s">
        <v>174</v>
      </c>
      <c r="E47" s="252">
        <v>100</v>
      </c>
      <c r="F47" s="253">
        <v>336</v>
      </c>
      <c r="G47" s="326">
        <v>4120</v>
      </c>
      <c r="H47" s="252">
        <v>27</v>
      </c>
      <c r="I47" s="327">
        <f t="shared" si="8"/>
        <v>27</v>
      </c>
      <c r="J47" s="160">
        <v>27</v>
      </c>
      <c r="K47" s="529">
        <v>0</v>
      </c>
      <c r="L47" s="2414"/>
    </row>
    <row r="48" spans="1:12" s="32" customFormat="1" ht="15" thickBot="1">
      <c r="A48" s="2409"/>
      <c r="B48" s="2421"/>
      <c r="C48" s="2423"/>
      <c r="D48" s="300"/>
      <c r="E48" s="252"/>
      <c r="F48" s="253"/>
      <c r="G48" s="328">
        <v>4700</v>
      </c>
      <c r="H48" s="252">
        <v>1500</v>
      </c>
      <c r="I48" s="327">
        <f t="shared" si="8"/>
        <v>1500</v>
      </c>
      <c r="J48" s="160">
        <v>1500</v>
      </c>
      <c r="K48" s="95">
        <v>0</v>
      </c>
      <c r="L48" s="2419"/>
    </row>
    <row r="49" spans="1:12" ht="30.75" customHeight="1" thickBot="1">
      <c r="A49" s="2407" t="s">
        <v>41</v>
      </c>
      <c r="B49" s="2407"/>
      <c r="C49" s="2408"/>
      <c r="D49" s="174"/>
      <c r="E49" s="254">
        <f>SUM(E32,E27,E19,E16,E7)</f>
        <v>9083700</v>
      </c>
      <c r="F49" s="255">
        <f>SUM(F32,F27,F19,F16,F7)</f>
        <v>12835057</v>
      </c>
      <c r="G49" s="256"/>
      <c r="H49" s="254">
        <f>SUM(H32,H27,H19,H16,H7)</f>
        <v>12984752</v>
      </c>
      <c r="I49" s="254">
        <f>SUM(I32,I27,I19,I16,I7)</f>
        <v>12539178</v>
      </c>
      <c r="J49" s="254">
        <f>SUM(J32,J27,J19,J16,J7)</f>
        <v>4253628</v>
      </c>
      <c r="K49" s="255">
        <f>SUM(K32,K27,K19,K16,K7)</f>
        <v>8285550</v>
      </c>
      <c r="L49" s="257"/>
    </row>
    <row r="52" spans="1:12">
      <c r="J52" s="34"/>
    </row>
    <row r="53" spans="1:12">
      <c r="I53" s="34">
        <f>SUM(J49:K49)</f>
        <v>12539178</v>
      </c>
      <c r="K53" s="34">
        <f>SUM(J49:K49)</f>
        <v>12539178</v>
      </c>
    </row>
    <row r="54" spans="1:12">
      <c r="L54" s="35"/>
    </row>
    <row r="57" spans="1:12" s="24" customFormat="1">
      <c r="A57" s="21"/>
      <c r="B57" s="21"/>
      <c r="C57" s="22"/>
      <c r="D57" s="22"/>
      <c r="E57" s="23"/>
      <c r="F57" s="23"/>
      <c r="G57" s="23"/>
      <c r="H57" s="23"/>
      <c r="J57" s="34"/>
    </row>
  </sheetData>
  <mergeCells count="33">
    <mergeCell ref="A2:L2"/>
    <mergeCell ref="A3:B3"/>
    <mergeCell ref="A4:A6"/>
    <mergeCell ref="B4:B6"/>
    <mergeCell ref="C4:C6"/>
    <mergeCell ref="D4:D6"/>
    <mergeCell ref="E4:F5"/>
    <mergeCell ref="G4:G6"/>
    <mergeCell ref="H4:K4"/>
    <mergeCell ref="L4:L6"/>
    <mergeCell ref="H5:H6"/>
    <mergeCell ref="I5:I6"/>
    <mergeCell ref="J5:K5"/>
    <mergeCell ref="L7:L15"/>
    <mergeCell ref="A8:A15"/>
    <mergeCell ref="B9:B15"/>
    <mergeCell ref="C9:C15"/>
    <mergeCell ref="L16:L31"/>
    <mergeCell ref="A17:A18"/>
    <mergeCell ref="A20:A25"/>
    <mergeCell ref="B23:B25"/>
    <mergeCell ref="C23:C25"/>
    <mergeCell ref="A28:A31"/>
    <mergeCell ref="A49:C49"/>
    <mergeCell ref="A33:A48"/>
    <mergeCell ref="L33:L36"/>
    <mergeCell ref="C34:C36"/>
    <mergeCell ref="L39:L43"/>
    <mergeCell ref="B40:B43"/>
    <mergeCell ref="C40:C43"/>
    <mergeCell ref="L44:L48"/>
    <mergeCell ref="B45:B48"/>
    <mergeCell ref="C45:C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Strona &amp;P z &amp;N</oddFooter>
  </headerFooter>
  <rowBreaks count="2" manualBreakCount="2">
    <brk id="31" max="11" man="1"/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2" zoomScaleNormal="100" zoomScaleSheetLayoutView="100" workbookViewId="0">
      <selection activeCell="M85" sqref="M85"/>
    </sheetView>
  </sheetViews>
  <sheetFormatPr defaultRowHeight="15"/>
  <cols>
    <col min="1" max="1" width="4.28515625" style="64" customWidth="1"/>
    <col min="2" max="2" width="7.85546875" style="64" customWidth="1"/>
    <col min="3" max="3" width="10" style="64" customWidth="1"/>
    <col min="4" max="4" width="51.140625" style="64" customWidth="1"/>
    <col min="5" max="5" width="11.5703125" style="64" customWidth="1"/>
    <col min="6" max="6" width="13.85546875" style="64" customWidth="1"/>
    <col min="7" max="7" width="11.5703125" style="64" customWidth="1"/>
    <col min="8" max="8" width="13.5703125" style="64" customWidth="1"/>
    <col min="9" max="16384" width="9.140625" style="65"/>
  </cols>
  <sheetData>
    <row r="1" spans="1:12" ht="41.25" customHeight="1">
      <c r="B1" s="2460" t="s">
        <v>99</v>
      </c>
      <c r="C1" s="2460"/>
      <c r="D1" s="2460"/>
      <c r="E1" s="2460"/>
      <c r="F1" s="2460"/>
      <c r="G1" s="2460"/>
      <c r="H1" s="2460"/>
    </row>
    <row r="2" spans="1:12" ht="15.75" thickBot="1">
      <c r="B2" s="66"/>
      <c r="C2" s="66"/>
      <c r="D2" s="67"/>
      <c r="E2" s="67"/>
      <c r="F2" s="67"/>
      <c r="G2" s="67"/>
      <c r="H2" s="68" t="s">
        <v>37</v>
      </c>
    </row>
    <row r="3" spans="1:12" ht="15.75" customHeight="1" thickBot="1">
      <c r="A3" s="2461" t="s">
        <v>100</v>
      </c>
      <c r="B3" s="2462" t="s">
        <v>0</v>
      </c>
      <c r="C3" s="2462" t="s">
        <v>44</v>
      </c>
      <c r="D3" s="2458" t="s">
        <v>101</v>
      </c>
      <c r="E3" s="2462" t="s">
        <v>102</v>
      </c>
      <c r="F3" s="2462"/>
      <c r="G3" s="2462" t="s">
        <v>46</v>
      </c>
      <c r="H3" s="2462"/>
    </row>
    <row r="4" spans="1:12" ht="28.5" customHeight="1" thickBot="1">
      <c r="A4" s="2461"/>
      <c r="B4" s="2462"/>
      <c r="C4" s="2462"/>
      <c r="D4" s="2458"/>
      <c r="E4" s="89" t="s">
        <v>103</v>
      </c>
      <c r="F4" s="69" t="s">
        <v>20</v>
      </c>
      <c r="G4" s="89" t="s">
        <v>103</v>
      </c>
      <c r="H4" s="69" t="s">
        <v>20</v>
      </c>
    </row>
    <row r="5" spans="1:12" s="70" customFormat="1" ht="12" customHeight="1" thickBot="1">
      <c r="A5" s="164">
        <v>1</v>
      </c>
      <c r="B5" s="165">
        <v>2</v>
      </c>
      <c r="C5" s="165">
        <v>3</v>
      </c>
      <c r="D5" s="166">
        <v>4</v>
      </c>
      <c r="E5" s="167">
        <v>5</v>
      </c>
      <c r="F5" s="165">
        <v>6</v>
      </c>
      <c r="G5" s="164">
        <v>7</v>
      </c>
      <c r="H5" s="165">
        <v>8</v>
      </c>
    </row>
    <row r="6" spans="1:12" ht="28.5">
      <c r="A6" s="71">
        <v>1</v>
      </c>
      <c r="B6" s="72">
        <v>801</v>
      </c>
      <c r="C6" s="72">
        <v>80102</v>
      </c>
      <c r="D6" s="73" t="s">
        <v>104</v>
      </c>
      <c r="E6" s="145">
        <v>6020</v>
      </c>
      <c r="F6" s="149">
        <v>5027.43</v>
      </c>
      <c r="G6" s="145">
        <v>6020</v>
      </c>
      <c r="H6" s="152">
        <v>5027.43</v>
      </c>
      <c r="I6" s="74"/>
      <c r="J6" s="74"/>
      <c r="K6" s="74"/>
      <c r="L6" s="74"/>
    </row>
    <row r="7" spans="1:12" ht="28.5" customHeight="1">
      <c r="A7" s="75">
        <v>2</v>
      </c>
      <c r="B7" s="76">
        <v>801</v>
      </c>
      <c r="C7" s="76">
        <v>80102</v>
      </c>
      <c r="D7" s="77" t="s">
        <v>105</v>
      </c>
      <c r="E7" s="146">
        <v>7000</v>
      </c>
      <c r="F7" s="150">
        <v>5188.28</v>
      </c>
      <c r="G7" s="146">
        <v>7000</v>
      </c>
      <c r="H7" s="153">
        <v>5181.45</v>
      </c>
    </row>
    <row r="8" spans="1:12" ht="30.75" customHeight="1">
      <c r="A8" s="78">
        <v>3</v>
      </c>
      <c r="B8" s="79">
        <v>801</v>
      </c>
      <c r="C8" s="79">
        <v>80130</v>
      </c>
      <c r="D8" s="77" t="s">
        <v>106</v>
      </c>
      <c r="E8" s="146">
        <v>104000</v>
      </c>
      <c r="F8" s="150">
        <v>57447.12</v>
      </c>
      <c r="G8" s="146">
        <v>104000</v>
      </c>
      <c r="H8" s="153">
        <v>57291.68</v>
      </c>
    </row>
    <row r="9" spans="1:12" ht="28.5">
      <c r="A9" s="80">
        <v>4</v>
      </c>
      <c r="B9" s="79">
        <v>801</v>
      </c>
      <c r="C9" s="79">
        <v>80130</v>
      </c>
      <c r="D9" s="77" t="s">
        <v>107</v>
      </c>
      <c r="E9" s="146">
        <v>30369</v>
      </c>
      <c r="F9" s="150">
        <v>26118.83</v>
      </c>
      <c r="G9" s="146">
        <v>30369</v>
      </c>
      <c r="H9" s="153">
        <v>26112.51</v>
      </c>
    </row>
    <row r="10" spans="1:12" ht="28.5">
      <c r="A10" s="75">
        <v>5</v>
      </c>
      <c r="B10" s="79">
        <v>801</v>
      </c>
      <c r="C10" s="79">
        <v>80130</v>
      </c>
      <c r="D10" s="77" t="s">
        <v>108</v>
      </c>
      <c r="E10" s="146">
        <v>2000</v>
      </c>
      <c r="F10" s="150">
        <v>80.739999999999995</v>
      </c>
      <c r="G10" s="146">
        <v>2000</v>
      </c>
      <c r="H10" s="153">
        <v>80.739999999999995</v>
      </c>
    </row>
    <row r="11" spans="1:12" ht="28.5">
      <c r="A11" s="78">
        <v>6</v>
      </c>
      <c r="B11" s="79">
        <v>801</v>
      </c>
      <c r="C11" s="79">
        <v>80130</v>
      </c>
      <c r="D11" s="77" t="s">
        <v>109</v>
      </c>
      <c r="E11" s="146">
        <v>16700</v>
      </c>
      <c r="F11" s="150">
        <v>7109.6</v>
      </c>
      <c r="G11" s="146">
        <v>16700</v>
      </c>
      <c r="H11" s="153">
        <v>7054.6</v>
      </c>
    </row>
    <row r="12" spans="1:12" ht="28.5">
      <c r="A12" s="80">
        <v>7</v>
      </c>
      <c r="B12" s="79">
        <v>801</v>
      </c>
      <c r="C12" s="79">
        <v>80130</v>
      </c>
      <c r="D12" s="77" t="s">
        <v>110</v>
      </c>
      <c r="E12" s="146">
        <v>50100</v>
      </c>
      <c r="F12" s="150">
        <v>38326.18</v>
      </c>
      <c r="G12" s="146">
        <v>50100</v>
      </c>
      <c r="H12" s="153">
        <v>38326.18</v>
      </c>
    </row>
    <row r="13" spans="1:12" ht="28.5">
      <c r="A13" s="75">
        <v>8</v>
      </c>
      <c r="B13" s="79">
        <v>801</v>
      </c>
      <c r="C13" s="79">
        <v>80130</v>
      </c>
      <c r="D13" s="77" t="s">
        <v>111</v>
      </c>
      <c r="E13" s="146">
        <v>2500</v>
      </c>
      <c r="F13" s="150">
        <v>824.1</v>
      </c>
      <c r="G13" s="146">
        <v>2500</v>
      </c>
      <c r="H13" s="153">
        <v>824.1</v>
      </c>
    </row>
    <row r="14" spans="1:12" ht="15" customHeight="1">
      <c r="A14" s="2455">
        <v>9</v>
      </c>
      <c r="B14" s="79">
        <v>801</v>
      </c>
      <c r="C14" s="79">
        <v>80130</v>
      </c>
      <c r="D14" s="2457" t="s">
        <v>112</v>
      </c>
      <c r="E14" s="146">
        <v>173861</v>
      </c>
      <c r="F14" s="150">
        <v>138149.82</v>
      </c>
      <c r="G14" s="146">
        <v>173861</v>
      </c>
      <c r="H14" s="153">
        <v>138136.54</v>
      </c>
    </row>
    <row r="15" spans="1:12" ht="15" customHeight="1">
      <c r="A15" s="2456"/>
      <c r="B15" s="79">
        <v>801</v>
      </c>
      <c r="C15" s="79">
        <v>85410</v>
      </c>
      <c r="D15" s="2457"/>
      <c r="E15" s="146">
        <v>207410</v>
      </c>
      <c r="F15" s="150">
        <v>136028.89000000001</v>
      </c>
      <c r="G15" s="146">
        <v>207410</v>
      </c>
      <c r="H15" s="153">
        <v>135999.99</v>
      </c>
    </row>
    <row r="16" spans="1:12" ht="31.5" customHeight="1">
      <c r="A16" s="75">
        <v>10</v>
      </c>
      <c r="B16" s="76">
        <v>801</v>
      </c>
      <c r="C16" s="76">
        <v>80146</v>
      </c>
      <c r="D16" s="77" t="s">
        <v>113</v>
      </c>
      <c r="E16" s="146">
        <v>2305000</v>
      </c>
      <c r="F16" s="150">
        <v>1922288.11</v>
      </c>
      <c r="G16" s="146">
        <v>2305000</v>
      </c>
      <c r="H16" s="153">
        <v>1922288.11</v>
      </c>
    </row>
    <row r="17" spans="1:8" ht="29.25" customHeight="1">
      <c r="A17" s="78">
        <v>11</v>
      </c>
      <c r="B17" s="79">
        <v>801</v>
      </c>
      <c r="C17" s="79">
        <v>80147</v>
      </c>
      <c r="D17" s="77" t="s">
        <v>114</v>
      </c>
      <c r="E17" s="146">
        <v>71000</v>
      </c>
      <c r="F17" s="150">
        <v>22479.32</v>
      </c>
      <c r="G17" s="146">
        <v>71000</v>
      </c>
      <c r="H17" s="153">
        <v>22311.57</v>
      </c>
    </row>
    <row r="18" spans="1:8" ht="30.75" customHeight="1">
      <c r="A18" s="80">
        <v>12</v>
      </c>
      <c r="B18" s="79">
        <v>801</v>
      </c>
      <c r="C18" s="79">
        <v>80147</v>
      </c>
      <c r="D18" s="77" t="s">
        <v>115</v>
      </c>
      <c r="E18" s="146">
        <v>41100</v>
      </c>
      <c r="F18" s="150">
        <v>11007.34</v>
      </c>
      <c r="G18" s="146">
        <v>41100</v>
      </c>
      <c r="H18" s="153">
        <v>11006.93</v>
      </c>
    </row>
    <row r="19" spans="1:8" ht="29.25" customHeight="1">
      <c r="A19" s="75">
        <v>13</v>
      </c>
      <c r="B19" s="79">
        <v>801</v>
      </c>
      <c r="C19" s="79">
        <v>80147</v>
      </c>
      <c r="D19" s="77" t="s">
        <v>116</v>
      </c>
      <c r="E19" s="146">
        <v>220000</v>
      </c>
      <c r="F19" s="150">
        <v>134761.76999999999</v>
      </c>
      <c r="G19" s="146">
        <v>220000</v>
      </c>
      <c r="H19" s="153">
        <v>133587.51999999999</v>
      </c>
    </row>
    <row r="20" spans="1:8" ht="18.75" customHeight="1" thickBot="1">
      <c r="A20" s="75">
        <v>14</v>
      </c>
      <c r="B20" s="81">
        <v>801</v>
      </c>
      <c r="C20" s="81">
        <v>80147</v>
      </c>
      <c r="D20" s="82" t="s">
        <v>117</v>
      </c>
      <c r="E20" s="147">
        <v>41100</v>
      </c>
      <c r="F20" s="151">
        <v>17685.47</v>
      </c>
      <c r="G20" s="147">
        <v>41100</v>
      </c>
      <c r="H20" s="154">
        <v>17684.009999999998</v>
      </c>
    </row>
    <row r="21" spans="1:8" ht="24" customHeight="1" thickBot="1">
      <c r="A21" s="2458" t="s">
        <v>118</v>
      </c>
      <c r="B21" s="2459"/>
      <c r="C21" s="2459"/>
      <c r="D21" s="2459"/>
      <c r="E21" s="148">
        <f>SUM(E6:E20)</f>
        <v>3278160</v>
      </c>
      <c r="F21" s="83">
        <f>SUM(F6:F20)</f>
        <v>2522523</v>
      </c>
      <c r="G21" s="148">
        <f>SUM(G6:G20)</f>
        <v>3278160</v>
      </c>
      <c r="H21" s="83">
        <f>SUM(H6:H20)</f>
        <v>2520913.36</v>
      </c>
    </row>
    <row r="23" spans="1:8">
      <c r="H23" s="84"/>
    </row>
    <row r="26" spans="1:8">
      <c r="H26" s="85"/>
    </row>
    <row r="35" spans="8:8">
      <c r="H35" s="85"/>
    </row>
  </sheetData>
  <mergeCells count="10">
    <mergeCell ref="A14:A15"/>
    <mergeCell ref="D14:D15"/>
    <mergeCell ref="A21:D21"/>
    <mergeCell ref="B1:H1"/>
    <mergeCell ref="A3:A4"/>
    <mergeCell ref="B3:B4"/>
    <mergeCell ref="C3:C4"/>
    <mergeCell ref="D3:D4"/>
    <mergeCell ref="E3:F3"/>
    <mergeCell ref="G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80" zoomScaleNormal="100" zoomScaleSheetLayoutView="80" zoomScalePageLayoutView="50" workbookViewId="0">
      <pane xSplit="8" ySplit="6" topLeftCell="I16" activePane="bottomRight" state="frozen"/>
      <selection activeCell="M85" sqref="M85"/>
      <selection pane="topRight" activeCell="M85" sqref="M85"/>
      <selection pane="bottomLeft" activeCell="M85" sqref="M85"/>
      <selection pane="bottomRight" activeCell="M85" sqref="M85"/>
    </sheetView>
  </sheetViews>
  <sheetFormatPr defaultRowHeight="14.25"/>
  <cols>
    <col min="1" max="1" width="7.42578125" style="21" customWidth="1"/>
    <col min="2" max="2" width="9.85546875" style="21" customWidth="1"/>
    <col min="3" max="3" width="32.5703125" style="22" customWidth="1"/>
    <col min="4" max="4" width="10.28515625" style="22" customWidth="1"/>
    <col min="5" max="6" width="14.42578125" style="23" customWidth="1"/>
    <col min="7" max="7" width="10.5703125" style="23" customWidth="1"/>
    <col min="8" max="8" width="14.42578125" style="23" customWidth="1"/>
    <col min="9" max="11" width="14.42578125" style="24" customWidth="1"/>
    <col min="12" max="12" width="53.7109375" style="24" customWidth="1"/>
    <col min="13" max="13" width="9.140625" style="25"/>
    <col min="14" max="15" width="11.5703125" style="25" bestFit="1" customWidth="1"/>
    <col min="16" max="16384" width="9.140625" style="25"/>
  </cols>
  <sheetData>
    <row r="1" spans="1:15" ht="23.25" customHeight="1"/>
    <row r="2" spans="1:15" ht="42" customHeight="1">
      <c r="A2" s="2436" t="s">
        <v>55</v>
      </c>
      <c r="B2" s="2436"/>
      <c r="C2" s="2436"/>
      <c r="D2" s="2436"/>
      <c r="E2" s="2436"/>
      <c r="F2" s="2436"/>
      <c r="G2" s="2436"/>
      <c r="H2" s="2436"/>
      <c r="I2" s="2436"/>
      <c r="J2" s="2436"/>
      <c r="K2" s="2436"/>
      <c r="L2" s="2436"/>
    </row>
    <row r="3" spans="1:15" ht="36.75" customHeight="1" thickBot="1">
      <c r="A3" s="2437"/>
      <c r="B3" s="2437"/>
      <c r="C3" s="26"/>
      <c r="D3" s="26"/>
      <c r="E3" s="26"/>
      <c r="F3" s="26"/>
      <c r="G3" s="26"/>
      <c r="H3" s="26"/>
      <c r="I3" s="27"/>
      <c r="J3" s="27"/>
      <c r="K3" s="27"/>
      <c r="L3" s="28" t="s">
        <v>37</v>
      </c>
    </row>
    <row r="4" spans="1:15" ht="15.75" customHeight="1" thickBot="1">
      <c r="A4" s="2452" t="s">
        <v>0</v>
      </c>
      <c r="B4" s="2488" t="s">
        <v>44</v>
      </c>
      <c r="C4" s="2453" t="s">
        <v>45</v>
      </c>
      <c r="D4" s="2466" t="s">
        <v>8</v>
      </c>
      <c r="E4" s="2451" t="s">
        <v>56</v>
      </c>
      <c r="F4" s="2438"/>
      <c r="G4" s="2466" t="s">
        <v>8</v>
      </c>
      <c r="H4" s="2451" t="s">
        <v>46</v>
      </c>
      <c r="I4" s="2466"/>
      <c r="J4" s="2466"/>
      <c r="K4" s="2450"/>
      <c r="L4" s="2452" t="s">
        <v>57</v>
      </c>
    </row>
    <row r="5" spans="1:15" ht="24.75" customHeight="1" thickBot="1">
      <c r="A5" s="2452"/>
      <c r="B5" s="2489"/>
      <c r="C5" s="2490"/>
      <c r="D5" s="2466"/>
      <c r="E5" s="2491"/>
      <c r="F5" s="2438"/>
      <c r="G5" s="2466"/>
      <c r="H5" s="2445" t="s">
        <v>47</v>
      </c>
      <c r="I5" s="2466" t="s">
        <v>48</v>
      </c>
      <c r="J5" s="2451" t="s">
        <v>49</v>
      </c>
      <c r="K5" s="2450"/>
      <c r="L5" s="2452"/>
    </row>
    <row r="6" spans="1:15" ht="36" customHeight="1" thickBot="1">
      <c r="A6" s="2452"/>
      <c r="B6" s="2448"/>
      <c r="C6" s="2454"/>
      <c r="D6" s="2466"/>
      <c r="E6" s="86" t="s">
        <v>47</v>
      </c>
      <c r="F6" s="133" t="s">
        <v>48</v>
      </c>
      <c r="G6" s="2466"/>
      <c r="H6" s="2445"/>
      <c r="I6" s="2466"/>
      <c r="J6" s="87" t="s">
        <v>50</v>
      </c>
      <c r="K6" s="46" t="s">
        <v>51</v>
      </c>
      <c r="L6" s="2452"/>
    </row>
    <row r="7" spans="1:15" ht="24" customHeight="1" thickBot="1">
      <c r="A7" s="108" t="s">
        <v>13</v>
      </c>
      <c r="B7" s="118"/>
      <c r="C7" s="119" t="s">
        <v>58</v>
      </c>
      <c r="D7" s="120"/>
      <c r="E7" s="114">
        <f>SUM(E8,E10)</f>
        <v>13903086</v>
      </c>
      <c r="F7" s="114">
        <f>SUM(F8,F10)</f>
        <v>11738610</v>
      </c>
      <c r="G7" s="114"/>
      <c r="H7" s="129">
        <f>SUM(H10,H8)</f>
        <v>13903086</v>
      </c>
      <c r="I7" s="114">
        <f>SUM(I10,I8)</f>
        <v>11738610</v>
      </c>
      <c r="J7" s="114">
        <f t="shared" ref="J7:K7" si="0">SUM(J10,J8)</f>
        <v>1418107</v>
      </c>
      <c r="K7" s="114">
        <f t="shared" si="0"/>
        <v>10320503</v>
      </c>
      <c r="L7" s="121"/>
    </row>
    <row r="8" spans="1:15" s="30" customFormat="1" ht="44.25" customHeight="1" thickBot="1">
      <c r="A8" s="2433"/>
      <c r="B8" s="101" t="s">
        <v>128</v>
      </c>
      <c r="C8" s="124" t="s">
        <v>129</v>
      </c>
      <c r="D8" s="103"/>
      <c r="E8" s="104">
        <f>SUM(E9)</f>
        <v>17136</v>
      </c>
      <c r="F8" s="104">
        <f t="shared" ref="F8:H8" si="1">SUM(F9)</f>
        <v>17136</v>
      </c>
      <c r="G8" s="104">
        <f t="shared" si="1"/>
        <v>0</v>
      </c>
      <c r="H8" s="104">
        <f t="shared" si="1"/>
        <v>17136</v>
      </c>
      <c r="I8" s="104">
        <f>SUM(I9)</f>
        <v>17136</v>
      </c>
      <c r="J8" s="104">
        <f>SUM(J9)</f>
        <v>17136</v>
      </c>
      <c r="K8" s="104">
        <f>SUM(K9)</f>
        <v>0</v>
      </c>
      <c r="L8" s="128"/>
      <c r="N8" s="141"/>
    </row>
    <row r="9" spans="1:15" s="30" customFormat="1" ht="62.25" customHeight="1" thickBot="1">
      <c r="A9" s="2435"/>
      <c r="B9" s="122"/>
      <c r="C9" s="91"/>
      <c r="D9" s="260" t="s">
        <v>77</v>
      </c>
      <c r="E9" s="262">
        <v>17136</v>
      </c>
      <c r="F9" s="98">
        <v>17136</v>
      </c>
      <c r="G9" s="260" t="s">
        <v>179</v>
      </c>
      <c r="H9" s="136">
        <v>17136</v>
      </c>
      <c r="I9" s="140">
        <f>SUM(J9:K9)</f>
        <v>17136</v>
      </c>
      <c r="J9" s="264">
        <v>17136</v>
      </c>
      <c r="K9" s="58">
        <v>0</v>
      </c>
      <c r="L9" s="123" t="s">
        <v>1017</v>
      </c>
      <c r="O9" s="141">
        <f>SUM(E9,E12,E15)</f>
        <v>12502115</v>
      </c>
    </row>
    <row r="10" spans="1:15" s="30" customFormat="1" ht="23.25" customHeight="1" thickBot="1">
      <c r="A10" s="259"/>
      <c r="B10" s="271" t="s">
        <v>6</v>
      </c>
      <c r="C10" s="272" t="s">
        <v>12</v>
      </c>
      <c r="D10" s="273"/>
      <c r="E10" s="274">
        <f>SUM(E11:E15)</f>
        <v>13885950</v>
      </c>
      <c r="F10" s="274">
        <f>SUM(F11:F15)</f>
        <v>11721474</v>
      </c>
      <c r="G10" s="274"/>
      <c r="H10" s="274">
        <f>SUM(H11:H15)</f>
        <v>13885950</v>
      </c>
      <c r="I10" s="275">
        <f t="shared" ref="I10:K10" si="2">SUM(I11:I15)</f>
        <v>11721474</v>
      </c>
      <c r="J10" s="276">
        <f t="shared" si="2"/>
        <v>1400971</v>
      </c>
      <c r="K10" s="275">
        <f t="shared" si="2"/>
        <v>10320503</v>
      </c>
      <c r="L10" s="277"/>
      <c r="O10" s="141"/>
    </row>
    <row r="11" spans="1:15" s="30" customFormat="1" ht="144" customHeight="1" thickBot="1">
      <c r="A11" s="278"/>
      <c r="B11" s="279"/>
      <c r="C11" s="280"/>
      <c r="D11" s="281" t="s">
        <v>19</v>
      </c>
      <c r="E11" s="282">
        <v>1400971</v>
      </c>
      <c r="F11" s="283">
        <v>1400971</v>
      </c>
      <c r="G11" s="281" t="s">
        <v>24</v>
      </c>
      <c r="H11" s="284">
        <v>1400971</v>
      </c>
      <c r="I11" s="285">
        <f>SUM(J11:K11)</f>
        <v>1400971</v>
      </c>
      <c r="J11" s="286">
        <v>1400971</v>
      </c>
      <c r="K11" s="287">
        <v>0</v>
      </c>
      <c r="L11" s="288" t="s">
        <v>180</v>
      </c>
      <c r="O11" s="141"/>
    </row>
    <row r="12" spans="1:15" s="30" customFormat="1" ht="122.25" customHeight="1">
      <c r="A12" s="2433" t="s">
        <v>13</v>
      </c>
      <c r="B12" s="2477" t="s">
        <v>6</v>
      </c>
      <c r="C12" s="92"/>
      <c r="D12" s="2477" t="s">
        <v>22</v>
      </c>
      <c r="E12" s="2474">
        <v>11399165</v>
      </c>
      <c r="F12" s="2494">
        <v>9234691</v>
      </c>
      <c r="G12" s="2477" t="s">
        <v>26</v>
      </c>
      <c r="H12" s="2500">
        <v>11399165</v>
      </c>
      <c r="I12" s="2485">
        <f>SUM(J12:K12)</f>
        <v>9234691</v>
      </c>
      <c r="J12" s="2482">
        <v>0</v>
      </c>
      <c r="K12" s="2479">
        <v>9234691</v>
      </c>
      <c r="L12" s="2497" t="s">
        <v>181</v>
      </c>
    </row>
    <row r="13" spans="1:15" s="30" customFormat="1" ht="409.5" customHeight="1">
      <c r="A13" s="2434"/>
      <c r="B13" s="2432"/>
      <c r="C13" s="90"/>
      <c r="D13" s="2432"/>
      <c r="E13" s="2475"/>
      <c r="F13" s="2495"/>
      <c r="G13" s="2432"/>
      <c r="H13" s="2501"/>
      <c r="I13" s="2486"/>
      <c r="J13" s="2483"/>
      <c r="K13" s="2480"/>
      <c r="L13" s="2498"/>
    </row>
    <row r="14" spans="1:15" s="30" customFormat="1" ht="141.75" customHeight="1" thickBot="1">
      <c r="A14" s="2435"/>
      <c r="B14" s="2478"/>
      <c r="C14" s="91"/>
      <c r="D14" s="2478"/>
      <c r="E14" s="2476"/>
      <c r="F14" s="2496"/>
      <c r="G14" s="2478"/>
      <c r="H14" s="2502"/>
      <c r="I14" s="2487"/>
      <c r="J14" s="2484"/>
      <c r="K14" s="2481"/>
      <c r="L14" s="2499"/>
    </row>
    <row r="15" spans="1:15" s="30" customFormat="1" ht="292.5" customHeight="1" thickBot="1">
      <c r="A15" s="45" t="s">
        <v>13</v>
      </c>
      <c r="B15" s="38" t="s">
        <v>6</v>
      </c>
      <c r="C15" s="63"/>
      <c r="D15" s="62" t="s">
        <v>97</v>
      </c>
      <c r="E15" s="262">
        <v>1085814</v>
      </c>
      <c r="F15" s="98">
        <v>1085812</v>
      </c>
      <c r="G15" s="260" t="s">
        <v>98</v>
      </c>
      <c r="H15" s="136">
        <v>1085814</v>
      </c>
      <c r="I15" s="265">
        <f>SUM(J15:K15)</f>
        <v>1085812</v>
      </c>
      <c r="J15" s="264"/>
      <c r="K15" s="58">
        <v>1085812</v>
      </c>
      <c r="L15" s="266" t="s">
        <v>182</v>
      </c>
    </row>
    <row r="16" spans="1:15" ht="41.25" customHeight="1" thickBot="1">
      <c r="A16" s="108" t="s">
        <v>7</v>
      </c>
      <c r="B16" s="118"/>
      <c r="C16" s="119" t="s">
        <v>59</v>
      </c>
      <c r="D16" s="125"/>
      <c r="E16" s="114">
        <f>SUM(E17)</f>
        <v>50000</v>
      </c>
      <c r="F16" s="129">
        <f>SUM(F17)</f>
        <v>50000</v>
      </c>
      <c r="G16" s="114"/>
      <c r="H16" s="129">
        <f>SUM(H17)</f>
        <v>50000</v>
      </c>
      <c r="I16" s="114">
        <f>SUM(I17)</f>
        <v>50000</v>
      </c>
      <c r="J16" s="112">
        <f>SUM(J17)</f>
        <v>50000</v>
      </c>
      <c r="K16" s="113">
        <f t="shared" ref="K16" si="3">SUM(K17)</f>
        <v>0</v>
      </c>
      <c r="L16" s="126"/>
    </row>
    <row r="17" spans="1:14" s="30" customFormat="1" ht="30" customHeight="1" thickBot="1">
      <c r="A17" s="2467"/>
      <c r="B17" s="101" t="s">
        <v>28</v>
      </c>
      <c r="C17" s="124" t="s">
        <v>11</v>
      </c>
      <c r="D17" s="103"/>
      <c r="E17" s="135">
        <f>SUM(E18)</f>
        <v>50000</v>
      </c>
      <c r="F17" s="134">
        <f>SUM(F18)</f>
        <v>50000</v>
      </c>
      <c r="G17" s="103"/>
      <c r="H17" s="130">
        <f>SUM(H18)</f>
        <v>50000</v>
      </c>
      <c r="I17" s="138">
        <f>SUM(J17:K17)</f>
        <v>50000</v>
      </c>
      <c r="J17" s="137">
        <f>SUM(J18)</f>
        <v>50000</v>
      </c>
      <c r="K17" s="117">
        <f>SUM(K18)</f>
        <v>0</v>
      </c>
      <c r="L17" s="128"/>
    </row>
    <row r="18" spans="1:14" s="24" customFormat="1" ht="69" customHeight="1" thickBot="1">
      <c r="A18" s="2468"/>
      <c r="B18" s="96"/>
      <c r="C18" s="97"/>
      <c r="D18" s="88" t="s">
        <v>19</v>
      </c>
      <c r="E18" s="261">
        <v>50000</v>
      </c>
      <c r="F18" s="59">
        <v>50000</v>
      </c>
      <c r="G18" s="258" t="s">
        <v>25</v>
      </c>
      <c r="H18" s="59">
        <v>50000</v>
      </c>
      <c r="I18" s="139">
        <f>SUM(J18:K18)</f>
        <v>50000</v>
      </c>
      <c r="J18" s="263">
        <v>50000</v>
      </c>
      <c r="K18" s="116">
        <v>0</v>
      </c>
      <c r="L18" s="268" t="s">
        <v>60</v>
      </c>
      <c r="N18" s="93"/>
    </row>
    <row r="19" spans="1:14" s="24" customFormat="1" ht="16.5" thickBot="1">
      <c r="A19" s="108" t="s">
        <v>119</v>
      </c>
      <c r="B19" s="118"/>
      <c r="C19" s="119" t="s">
        <v>120</v>
      </c>
      <c r="D19" s="125"/>
      <c r="E19" s="114">
        <f>SUM(E20)</f>
        <v>200000</v>
      </c>
      <c r="F19" s="129">
        <f>SUM(F20)</f>
        <v>200000</v>
      </c>
      <c r="G19" s="114"/>
      <c r="H19" s="129">
        <f>SUM(H20)</f>
        <v>200000</v>
      </c>
      <c r="I19" s="114">
        <f>SUM(I20)</f>
        <v>200000</v>
      </c>
      <c r="J19" s="112">
        <f t="shared" ref="J19" si="4">SUM(J20)</f>
        <v>0</v>
      </c>
      <c r="K19" s="113">
        <f>SUM(K20)</f>
        <v>200000</v>
      </c>
      <c r="L19" s="126"/>
      <c r="N19" s="93"/>
    </row>
    <row r="20" spans="1:14" s="24" customFormat="1" ht="25.5" customHeight="1" thickBot="1">
      <c r="A20" s="2467"/>
      <c r="B20" s="101" t="s">
        <v>187</v>
      </c>
      <c r="C20" s="124" t="s">
        <v>487</v>
      </c>
      <c r="D20" s="103"/>
      <c r="E20" s="135">
        <f>SUM(E21)</f>
        <v>200000</v>
      </c>
      <c r="F20" s="134">
        <f>SUM(F21)</f>
        <v>200000</v>
      </c>
      <c r="G20" s="103"/>
      <c r="H20" s="130">
        <f>SUM(H21)</f>
        <v>200000</v>
      </c>
      <c r="I20" s="138">
        <f t="shared" ref="I20" si="5">SUM(J20:K20)</f>
        <v>200000</v>
      </c>
      <c r="J20" s="137">
        <f>SUM(J21)</f>
        <v>0</v>
      </c>
      <c r="K20" s="117">
        <f>SUM(K21)</f>
        <v>200000</v>
      </c>
      <c r="L20" s="128"/>
      <c r="N20" s="93"/>
    </row>
    <row r="21" spans="1:14" s="24" customFormat="1" ht="78.75" customHeight="1" thickBot="1">
      <c r="A21" s="2473"/>
      <c r="B21" s="38"/>
      <c r="C21" s="99"/>
      <c r="D21" s="260" t="s">
        <v>22</v>
      </c>
      <c r="E21" s="310">
        <v>200000</v>
      </c>
      <c r="F21" s="98">
        <v>200000</v>
      </c>
      <c r="G21" s="307" t="s">
        <v>188</v>
      </c>
      <c r="H21" s="98">
        <v>200000</v>
      </c>
      <c r="I21" s="140"/>
      <c r="J21" s="306">
        <v>0</v>
      </c>
      <c r="K21" s="58">
        <v>200000</v>
      </c>
      <c r="L21" s="269" t="s">
        <v>234</v>
      </c>
      <c r="N21" s="93"/>
    </row>
    <row r="22" spans="1:14" s="24" customFormat="1" ht="27.75" customHeight="1" thickBot="1">
      <c r="A22" s="108" t="s">
        <v>121</v>
      </c>
      <c r="B22" s="109"/>
      <c r="C22" s="110" t="s">
        <v>123</v>
      </c>
      <c r="D22" s="111"/>
      <c r="E22" s="114">
        <f>SUM(E23)</f>
        <v>1857839</v>
      </c>
      <c r="F22" s="112">
        <f>SUM(F23)</f>
        <v>1471831</v>
      </c>
      <c r="G22" s="114"/>
      <c r="H22" s="129">
        <f>SUM(H23)</f>
        <v>1857839</v>
      </c>
      <c r="I22" s="114">
        <f>SUM(I23)</f>
        <v>1471831</v>
      </c>
      <c r="J22" s="112">
        <f>SUM(J23)</f>
        <v>1471831</v>
      </c>
      <c r="K22" s="112">
        <f>SUM(K23,K23)</f>
        <v>0</v>
      </c>
      <c r="L22" s="115"/>
    </row>
    <row r="23" spans="1:14" s="24" customFormat="1" ht="43.5" customHeight="1" thickBot="1">
      <c r="A23" s="2433"/>
      <c r="B23" s="101" t="s">
        <v>122</v>
      </c>
      <c r="C23" s="102" t="s">
        <v>124</v>
      </c>
      <c r="D23" s="103"/>
      <c r="E23" s="104">
        <f>SUM(E24)</f>
        <v>1857839</v>
      </c>
      <c r="F23" s="130">
        <f>SUM(F24)</f>
        <v>1471831</v>
      </c>
      <c r="G23" s="104"/>
      <c r="H23" s="130">
        <f>SUM(H24)</f>
        <v>1857839</v>
      </c>
      <c r="I23" s="132">
        <f>SUM(J23:K23)</f>
        <v>1471831</v>
      </c>
      <c r="J23" s="127">
        <f>SUM(J24)</f>
        <v>1471831</v>
      </c>
      <c r="K23" s="105">
        <f>SUM(K24)</f>
        <v>0</v>
      </c>
      <c r="L23" s="106"/>
    </row>
    <row r="24" spans="1:14" s="24" customFormat="1" ht="336" customHeight="1" thickBot="1">
      <c r="A24" s="2435"/>
      <c r="B24" s="38"/>
      <c r="C24" s="99"/>
      <c r="D24" s="260" t="s">
        <v>17</v>
      </c>
      <c r="E24" s="262">
        <v>1857839</v>
      </c>
      <c r="F24" s="98">
        <v>1471831</v>
      </c>
      <c r="G24" s="260" t="s">
        <v>125</v>
      </c>
      <c r="H24" s="98">
        <v>1857839</v>
      </c>
      <c r="I24" s="262">
        <f>SUM(J24:K24)</f>
        <v>1471831</v>
      </c>
      <c r="J24" s="40">
        <v>1471831</v>
      </c>
      <c r="K24" s="100">
        <v>0</v>
      </c>
      <c r="L24" s="269" t="s">
        <v>186</v>
      </c>
    </row>
    <row r="25" spans="1:14" s="29" customFormat="1" ht="59.25" customHeight="1" thickBot="1">
      <c r="A25" s="108" t="s">
        <v>14</v>
      </c>
      <c r="B25" s="109"/>
      <c r="C25" s="110" t="s">
        <v>61</v>
      </c>
      <c r="D25" s="111"/>
      <c r="E25" s="114">
        <f>SUM(E26,E28,E30)</f>
        <v>4153460</v>
      </c>
      <c r="F25" s="112">
        <f>SUM(F26,F28,F30)</f>
        <v>4153460</v>
      </c>
      <c r="G25" s="114"/>
      <c r="H25" s="129">
        <f>SUM(H26,H28,H30)</f>
        <v>4153460</v>
      </c>
      <c r="I25" s="114">
        <f>SUM(I26,I28,I30)</f>
        <v>4153460</v>
      </c>
      <c r="J25" s="112">
        <f>SUM(J26,J28,J30)</f>
        <v>4153460</v>
      </c>
      <c r="K25" s="112">
        <f>SUM(K26,K28,K30)</f>
        <v>0</v>
      </c>
      <c r="L25" s="115"/>
    </row>
    <row r="26" spans="1:14" s="32" customFormat="1" ht="30" customHeight="1" thickBot="1">
      <c r="A26" s="2433"/>
      <c r="B26" s="101" t="s">
        <v>183</v>
      </c>
      <c r="C26" s="102" t="s">
        <v>184</v>
      </c>
      <c r="D26" s="103"/>
      <c r="E26" s="104">
        <f>SUM(E27)</f>
        <v>50000</v>
      </c>
      <c r="F26" s="130">
        <f>SUM(F27)</f>
        <v>50000</v>
      </c>
      <c r="G26" s="104"/>
      <c r="H26" s="130">
        <f>SUM(H27)</f>
        <v>50000</v>
      </c>
      <c r="I26" s="132">
        <f>SUM(I27)</f>
        <v>50000</v>
      </c>
      <c r="J26" s="127">
        <f>SUM(J27)</f>
        <v>50000</v>
      </c>
      <c r="K26" s="105">
        <f>SUM(K27)</f>
        <v>0</v>
      </c>
      <c r="L26" s="161"/>
    </row>
    <row r="27" spans="1:14" s="33" customFormat="1" ht="76.5" customHeight="1" thickBot="1">
      <c r="A27" s="2492"/>
      <c r="B27" s="38"/>
      <c r="C27" s="99"/>
      <c r="D27" s="1873" t="s">
        <v>19</v>
      </c>
      <c r="E27" s="1874">
        <v>50000</v>
      </c>
      <c r="F27" s="98">
        <v>50000</v>
      </c>
      <c r="G27" s="1873" t="s">
        <v>30</v>
      </c>
      <c r="H27" s="98">
        <v>50000</v>
      </c>
      <c r="I27" s="1874">
        <f>SUM(J27:K27)</f>
        <v>50000</v>
      </c>
      <c r="J27" s="40">
        <v>50000</v>
      </c>
      <c r="K27" s="100">
        <v>0</v>
      </c>
      <c r="L27" s="269" t="s">
        <v>185</v>
      </c>
    </row>
    <row r="28" spans="1:14" s="33" customFormat="1" ht="35.25" customHeight="1" thickBot="1">
      <c r="A28" s="2492"/>
      <c r="B28" s="101">
        <v>92108</v>
      </c>
      <c r="C28" s="102" t="s">
        <v>29</v>
      </c>
      <c r="D28" s="103"/>
      <c r="E28" s="104">
        <f>SUM(E29)</f>
        <v>140000</v>
      </c>
      <c r="F28" s="130">
        <f>SUM(F29)</f>
        <v>140000</v>
      </c>
      <c r="G28" s="104"/>
      <c r="H28" s="130">
        <f>SUM(H29)</f>
        <v>140000</v>
      </c>
      <c r="I28" s="132">
        <f t="shared" ref="I28" si="6">SUM(J28:K28)</f>
        <v>140000</v>
      </c>
      <c r="J28" s="127">
        <f>SUM(J29)</f>
        <v>140000</v>
      </c>
      <c r="K28" s="107">
        <f>SUM(K29)</f>
        <v>0</v>
      </c>
      <c r="L28" s="161"/>
    </row>
    <row r="29" spans="1:14" s="33" customFormat="1" ht="144" customHeight="1" thickBot="1">
      <c r="A29" s="2493"/>
      <c r="B29" s="96"/>
      <c r="C29" s="1878"/>
      <c r="D29" s="1879" t="s">
        <v>19</v>
      </c>
      <c r="E29" s="1880">
        <v>140000</v>
      </c>
      <c r="F29" s="59">
        <v>140000</v>
      </c>
      <c r="G29" s="1879" t="s">
        <v>30</v>
      </c>
      <c r="H29" s="59">
        <v>140000</v>
      </c>
      <c r="I29" s="1880">
        <f>SUM(J29:K29)</f>
        <v>140000</v>
      </c>
      <c r="J29" s="373">
        <v>140000</v>
      </c>
      <c r="K29" s="1881">
        <v>0</v>
      </c>
      <c r="L29" s="1882" t="s">
        <v>127</v>
      </c>
    </row>
    <row r="30" spans="1:14" s="32" customFormat="1" ht="30" customHeight="1" thickBot="1">
      <c r="A30" s="2433"/>
      <c r="B30" s="101">
        <v>92116</v>
      </c>
      <c r="C30" s="102" t="s">
        <v>31</v>
      </c>
      <c r="D30" s="103"/>
      <c r="E30" s="104">
        <f>SUM(E31:E32)</f>
        <v>3963460</v>
      </c>
      <c r="F30" s="130">
        <f>SUM(F31:F32)</f>
        <v>3963460</v>
      </c>
      <c r="G30" s="104"/>
      <c r="H30" s="130">
        <f>SUM(H31:H32)</f>
        <v>3963460</v>
      </c>
      <c r="I30" s="132">
        <f>SUM(J30:K30)</f>
        <v>3963460</v>
      </c>
      <c r="J30" s="127">
        <f>SUM(J31:J32)</f>
        <v>3963460</v>
      </c>
      <c r="K30" s="107">
        <f>SUM(K31:K32)</f>
        <v>0</v>
      </c>
      <c r="L30" s="161"/>
    </row>
    <row r="31" spans="1:14" s="33" customFormat="1" ht="73.5" customHeight="1">
      <c r="A31" s="2492"/>
      <c r="B31" s="2469"/>
      <c r="C31" s="2471"/>
      <c r="D31" s="1883" t="s">
        <v>16</v>
      </c>
      <c r="E31" s="1884">
        <v>3886460</v>
      </c>
      <c r="F31" s="131">
        <v>3886460</v>
      </c>
      <c r="G31" s="1883" t="s">
        <v>32</v>
      </c>
      <c r="H31" s="131">
        <v>3886460</v>
      </c>
      <c r="I31" s="1885">
        <f>SUM(J31:K31)</f>
        <v>3886460</v>
      </c>
      <c r="J31" s="1886">
        <v>3886460</v>
      </c>
      <c r="K31" s="1887">
        <v>0</v>
      </c>
      <c r="L31" s="1888" t="s">
        <v>126</v>
      </c>
    </row>
    <row r="32" spans="1:14" s="33" customFormat="1" ht="74.25" customHeight="1" thickBot="1">
      <c r="A32" s="2493"/>
      <c r="B32" s="2470"/>
      <c r="C32" s="2472"/>
      <c r="D32" s="1889" t="s">
        <v>17</v>
      </c>
      <c r="E32" s="1890">
        <v>77000</v>
      </c>
      <c r="F32" s="1891">
        <v>77000</v>
      </c>
      <c r="G32" s="1889" t="s">
        <v>30</v>
      </c>
      <c r="H32" s="1891">
        <v>77000</v>
      </c>
      <c r="I32" s="1892">
        <f>SUM(J32:K32)</f>
        <v>77000</v>
      </c>
      <c r="J32" s="1893">
        <v>77000</v>
      </c>
      <c r="K32" s="1894">
        <v>0</v>
      </c>
      <c r="L32" s="1895" t="s">
        <v>62</v>
      </c>
    </row>
    <row r="33" spans="1:12" ht="36.75" customHeight="1" thickBot="1">
      <c r="A33" s="2463" t="s">
        <v>63</v>
      </c>
      <c r="B33" s="2464"/>
      <c r="C33" s="2464"/>
      <c r="D33" s="2465"/>
      <c r="E33" s="142">
        <f>SUM(E7,E16,E19,E22,E25)</f>
        <v>20164385</v>
      </c>
      <c r="F33" s="142">
        <f>SUM(F7,F16,F19,F22,F25)</f>
        <v>17613901</v>
      </c>
      <c r="G33" s="143"/>
      <c r="H33" s="142">
        <f>SUM(H7,H16,H19,H22,H25)</f>
        <v>20164385</v>
      </c>
      <c r="I33" s="142">
        <f>SUM(I7,I16,I19,I22,I25)</f>
        <v>17613901</v>
      </c>
      <c r="J33" s="143">
        <f>SUM(J7,J16,J19,J22,J25)</f>
        <v>7093398</v>
      </c>
      <c r="K33" s="143">
        <f>SUM(K7,K16,K19,K22,K25)</f>
        <v>10520503</v>
      </c>
      <c r="L33" s="144"/>
    </row>
    <row r="35" spans="1:12">
      <c r="J35" s="34">
        <f>SUM(J33:K33)</f>
        <v>17613901</v>
      </c>
    </row>
    <row r="36" spans="1:12">
      <c r="E36" s="37"/>
      <c r="F36" s="37"/>
      <c r="G36" s="37"/>
      <c r="H36" s="37"/>
      <c r="I36" s="37"/>
      <c r="J36" s="37"/>
      <c r="K36" s="37"/>
    </row>
    <row r="37" spans="1:12">
      <c r="E37" s="37"/>
      <c r="F37" s="37"/>
      <c r="G37" s="37"/>
      <c r="H37" s="37"/>
      <c r="I37" s="37"/>
      <c r="J37" s="37"/>
      <c r="K37" s="37"/>
    </row>
    <row r="38" spans="1:12">
      <c r="L38" s="35"/>
    </row>
    <row r="40" spans="1:12" s="24" customFormat="1">
      <c r="A40" s="21"/>
      <c r="B40" s="21"/>
      <c r="C40" s="22"/>
      <c r="D40" s="22"/>
      <c r="E40" s="37"/>
      <c r="F40" s="37"/>
      <c r="G40" s="37"/>
      <c r="H40" s="37"/>
      <c r="I40" s="37"/>
      <c r="J40" s="37"/>
    </row>
    <row r="41" spans="1:12" s="24" customFormat="1">
      <c r="A41" s="21"/>
      <c r="B41" s="21"/>
      <c r="C41" s="22"/>
      <c r="D41" s="22"/>
      <c r="E41" s="23"/>
      <c r="F41" s="23"/>
      <c r="G41" s="23"/>
      <c r="H41" s="23"/>
      <c r="J41" s="34"/>
    </row>
  </sheetData>
  <mergeCells count="33">
    <mergeCell ref="A30:A32"/>
    <mergeCell ref="A26:A29"/>
    <mergeCell ref="F12:F14"/>
    <mergeCell ref="G12:G14"/>
    <mergeCell ref="L12:L14"/>
    <mergeCell ref="H12:H14"/>
    <mergeCell ref="B12:B14"/>
    <mergeCell ref="A2:L2"/>
    <mergeCell ref="A3:B3"/>
    <mergeCell ref="A4:A6"/>
    <mergeCell ref="B4:B6"/>
    <mergeCell ref="C4:C6"/>
    <mergeCell ref="D4:D6"/>
    <mergeCell ref="E4:F5"/>
    <mergeCell ref="G4:G6"/>
    <mergeCell ref="H4:K4"/>
    <mergeCell ref="L4:L6"/>
    <mergeCell ref="A33:D33"/>
    <mergeCell ref="H5:H6"/>
    <mergeCell ref="I5:I6"/>
    <mergeCell ref="J5:K5"/>
    <mergeCell ref="A17:A18"/>
    <mergeCell ref="B31:B32"/>
    <mergeCell ref="C31:C32"/>
    <mergeCell ref="A20:A21"/>
    <mergeCell ref="A23:A24"/>
    <mergeCell ref="E12:E14"/>
    <mergeCell ref="D12:D14"/>
    <mergeCell ref="K12:K14"/>
    <mergeCell ref="A12:A14"/>
    <mergeCell ref="J12:J14"/>
    <mergeCell ref="I12:I14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Strona &amp;P z &amp;N</oddFooter>
  </headerFooter>
  <rowBreaks count="3" manualBreakCount="3">
    <brk id="11" max="11" man="1"/>
    <brk id="14" max="11" man="1"/>
    <brk id="2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view="pageBreakPreview" topLeftCell="A46" zoomScale="75" zoomScaleNormal="100" zoomScaleSheetLayoutView="75" workbookViewId="0">
      <selection activeCell="M85" sqref="M85"/>
    </sheetView>
  </sheetViews>
  <sheetFormatPr defaultRowHeight="14.25"/>
  <cols>
    <col min="1" max="1" width="7.42578125" style="57" customWidth="1"/>
    <col min="2" max="2" width="11" style="57" customWidth="1"/>
    <col min="3" max="3" width="33.7109375" style="22" customWidth="1"/>
    <col min="4" max="4" width="11.42578125" style="23" customWidth="1"/>
    <col min="5" max="5" width="15" style="23" customWidth="1"/>
    <col min="6" max="6" width="15.140625" style="25" customWidth="1"/>
    <col min="7" max="7" width="14.5703125" style="25" customWidth="1"/>
    <col min="8" max="8" width="14.7109375" style="25" customWidth="1"/>
    <col min="9" max="9" width="75.7109375" style="25" customWidth="1"/>
    <col min="10" max="257" width="9.140625" style="25"/>
    <col min="258" max="258" width="7" style="25" customWidth="1"/>
    <col min="259" max="259" width="10.7109375" style="25" customWidth="1"/>
    <col min="260" max="260" width="15.7109375" style="25" customWidth="1"/>
    <col min="261" max="262" width="13.42578125" style="25" customWidth="1"/>
    <col min="263" max="263" width="17.85546875" style="25" customWidth="1"/>
    <col min="264" max="264" width="16" style="25" customWidth="1"/>
    <col min="265" max="265" width="43.42578125" style="25" customWidth="1"/>
    <col min="266" max="513" width="9.140625" style="25"/>
    <col min="514" max="514" width="7" style="25" customWidth="1"/>
    <col min="515" max="515" width="10.7109375" style="25" customWidth="1"/>
    <col min="516" max="516" width="15.7109375" style="25" customWidth="1"/>
    <col min="517" max="518" width="13.42578125" style="25" customWidth="1"/>
    <col min="519" max="519" width="17.85546875" style="25" customWidth="1"/>
    <col min="520" max="520" width="16" style="25" customWidth="1"/>
    <col min="521" max="521" width="43.42578125" style="25" customWidth="1"/>
    <col min="522" max="769" width="9.140625" style="25"/>
    <col min="770" max="770" width="7" style="25" customWidth="1"/>
    <col min="771" max="771" width="10.7109375" style="25" customWidth="1"/>
    <col min="772" max="772" width="15.7109375" style="25" customWidth="1"/>
    <col min="773" max="774" width="13.42578125" style="25" customWidth="1"/>
    <col min="775" max="775" width="17.85546875" style="25" customWidth="1"/>
    <col min="776" max="776" width="16" style="25" customWidth="1"/>
    <col min="777" max="777" width="43.42578125" style="25" customWidth="1"/>
    <col min="778" max="1025" width="9.140625" style="25"/>
    <col min="1026" max="1026" width="7" style="25" customWidth="1"/>
    <col min="1027" max="1027" width="10.7109375" style="25" customWidth="1"/>
    <col min="1028" max="1028" width="15.7109375" style="25" customWidth="1"/>
    <col min="1029" max="1030" width="13.42578125" style="25" customWidth="1"/>
    <col min="1031" max="1031" width="17.85546875" style="25" customWidth="1"/>
    <col min="1032" max="1032" width="16" style="25" customWidth="1"/>
    <col min="1033" max="1033" width="43.42578125" style="25" customWidth="1"/>
    <col min="1034" max="1281" width="9.140625" style="25"/>
    <col min="1282" max="1282" width="7" style="25" customWidth="1"/>
    <col min="1283" max="1283" width="10.7109375" style="25" customWidth="1"/>
    <col min="1284" max="1284" width="15.7109375" style="25" customWidth="1"/>
    <col min="1285" max="1286" width="13.42578125" style="25" customWidth="1"/>
    <col min="1287" max="1287" width="17.85546875" style="25" customWidth="1"/>
    <col min="1288" max="1288" width="16" style="25" customWidth="1"/>
    <col min="1289" max="1289" width="43.42578125" style="25" customWidth="1"/>
    <col min="1290" max="1537" width="9.140625" style="25"/>
    <col min="1538" max="1538" width="7" style="25" customWidth="1"/>
    <col min="1539" max="1539" width="10.7109375" style="25" customWidth="1"/>
    <col min="1540" max="1540" width="15.7109375" style="25" customWidth="1"/>
    <col min="1541" max="1542" width="13.42578125" style="25" customWidth="1"/>
    <col min="1543" max="1543" width="17.85546875" style="25" customWidth="1"/>
    <col min="1544" max="1544" width="16" style="25" customWidth="1"/>
    <col min="1545" max="1545" width="43.42578125" style="25" customWidth="1"/>
    <col min="1546" max="1793" width="9.140625" style="25"/>
    <col min="1794" max="1794" width="7" style="25" customWidth="1"/>
    <col min="1795" max="1795" width="10.7109375" style="25" customWidth="1"/>
    <col min="1796" max="1796" width="15.7109375" style="25" customWidth="1"/>
    <col min="1797" max="1798" width="13.42578125" style="25" customWidth="1"/>
    <col min="1799" max="1799" width="17.85546875" style="25" customWidth="1"/>
    <col min="1800" max="1800" width="16" style="25" customWidth="1"/>
    <col min="1801" max="1801" width="43.42578125" style="25" customWidth="1"/>
    <col min="1802" max="2049" width="9.140625" style="25"/>
    <col min="2050" max="2050" width="7" style="25" customWidth="1"/>
    <col min="2051" max="2051" width="10.7109375" style="25" customWidth="1"/>
    <col min="2052" max="2052" width="15.7109375" style="25" customWidth="1"/>
    <col min="2053" max="2054" width="13.42578125" style="25" customWidth="1"/>
    <col min="2055" max="2055" width="17.85546875" style="25" customWidth="1"/>
    <col min="2056" max="2056" width="16" style="25" customWidth="1"/>
    <col min="2057" max="2057" width="43.42578125" style="25" customWidth="1"/>
    <col min="2058" max="2305" width="9.140625" style="25"/>
    <col min="2306" max="2306" width="7" style="25" customWidth="1"/>
    <col min="2307" max="2307" width="10.7109375" style="25" customWidth="1"/>
    <col min="2308" max="2308" width="15.7109375" style="25" customWidth="1"/>
    <col min="2309" max="2310" width="13.42578125" style="25" customWidth="1"/>
    <col min="2311" max="2311" width="17.85546875" style="25" customWidth="1"/>
    <col min="2312" max="2312" width="16" style="25" customWidth="1"/>
    <col min="2313" max="2313" width="43.42578125" style="25" customWidth="1"/>
    <col min="2314" max="2561" width="9.140625" style="25"/>
    <col min="2562" max="2562" width="7" style="25" customWidth="1"/>
    <col min="2563" max="2563" width="10.7109375" style="25" customWidth="1"/>
    <col min="2564" max="2564" width="15.7109375" style="25" customWidth="1"/>
    <col min="2565" max="2566" width="13.42578125" style="25" customWidth="1"/>
    <col min="2567" max="2567" width="17.85546875" style="25" customWidth="1"/>
    <col min="2568" max="2568" width="16" style="25" customWidth="1"/>
    <col min="2569" max="2569" width="43.42578125" style="25" customWidth="1"/>
    <col min="2570" max="2817" width="9.140625" style="25"/>
    <col min="2818" max="2818" width="7" style="25" customWidth="1"/>
    <col min="2819" max="2819" width="10.7109375" style="25" customWidth="1"/>
    <col min="2820" max="2820" width="15.7109375" style="25" customWidth="1"/>
    <col min="2821" max="2822" width="13.42578125" style="25" customWidth="1"/>
    <col min="2823" max="2823" width="17.85546875" style="25" customWidth="1"/>
    <col min="2824" max="2824" width="16" style="25" customWidth="1"/>
    <col min="2825" max="2825" width="43.42578125" style="25" customWidth="1"/>
    <col min="2826" max="3073" width="9.140625" style="25"/>
    <col min="3074" max="3074" width="7" style="25" customWidth="1"/>
    <col min="3075" max="3075" width="10.7109375" style="25" customWidth="1"/>
    <col min="3076" max="3076" width="15.7109375" style="25" customWidth="1"/>
    <col min="3077" max="3078" width="13.42578125" style="25" customWidth="1"/>
    <col min="3079" max="3079" width="17.85546875" style="25" customWidth="1"/>
    <col min="3080" max="3080" width="16" style="25" customWidth="1"/>
    <col min="3081" max="3081" width="43.42578125" style="25" customWidth="1"/>
    <col min="3082" max="3329" width="9.140625" style="25"/>
    <col min="3330" max="3330" width="7" style="25" customWidth="1"/>
    <col min="3331" max="3331" width="10.7109375" style="25" customWidth="1"/>
    <col min="3332" max="3332" width="15.7109375" style="25" customWidth="1"/>
    <col min="3333" max="3334" width="13.42578125" style="25" customWidth="1"/>
    <col min="3335" max="3335" width="17.85546875" style="25" customWidth="1"/>
    <col min="3336" max="3336" width="16" style="25" customWidth="1"/>
    <col min="3337" max="3337" width="43.42578125" style="25" customWidth="1"/>
    <col min="3338" max="3585" width="9.140625" style="25"/>
    <col min="3586" max="3586" width="7" style="25" customWidth="1"/>
    <col min="3587" max="3587" width="10.7109375" style="25" customWidth="1"/>
    <col min="3588" max="3588" width="15.7109375" style="25" customWidth="1"/>
    <col min="3589" max="3590" width="13.42578125" style="25" customWidth="1"/>
    <col min="3591" max="3591" width="17.85546875" style="25" customWidth="1"/>
    <col min="3592" max="3592" width="16" style="25" customWidth="1"/>
    <col min="3593" max="3593" width="43.42578125" style="25" customWidth="1"/>
    <col min="3594" max="3841" width="9.140625" style="25"/>
    <col min="3842" max="3842" width="7" style="25" customWidth="1"/>
    <col min="3843" max="3843" width="10.7109375" style="25" customWidth="1"/>
    <col min="3844" max="3844" width="15.7109375" style="25" customWidth="1"/>
    <col min="3845" max="3846" width="13.42578125" style="25" customWidth="1"/>
    <col min="3847" max="3847" width="17.85546875" style="25" customWidth="1"/>
    <col min="3848" max="3848" width="16" style="25" customWidth="1"/>
    <col min="3849" max="3849" width="43.42578125" style="25" customWidth="1"/>
    <col min="3850" max="4097" width="9.140625" style="25"/>
    <col min="4098" max="4098" width="7" style="25" customWidth="1"/>
    <col min="4099" max="4099" width="10.7109375" style="25" customWidth="1"/>
    <col min="4100" max="4100" width="15.7109375" style="25" customWidth="1"/>
    <col min="4101" max="4102" width="13.42578125" style="25" customWidth="1"/>
    <col min="4103" max="4103" width="17.85546875" style="25" customWidth="1"/>
    <col min="4104" max="4104" width="16" style="25" customWidth="1"/>
    <col min="4105" max="4105" width="43.42578125" style="25" customWidth="1"/>
    <col min="4106" max="4353" width="9.140625" style="25"/>
    <col min="4354" max="4354" width="7" style="25" customWidth="1"/>
    <col min="4355" max="4355" width="10.7109375" style="25" customWidth="1"/>
    <col min="4356" max="4356" width="15.7109375" style="25" customWidth="1"/>
    <col min="4357" max="4358" width="13.42578125" style="25" customWidth="1"/>
    <col min="4359" max="4359" width="17.85546875" style="25" customWidth="1"/>
    <col min="4360" max="4360" width="16" style="25" customWidth="1"/>
    <col min="4361" max="4361" width="43.42578125" style="25" customWidth="1"/>
    <col min="4362" max="4609" width="9.140625" style="25"/>
    <col min="4610" max="4610" width="7" style="25" customWidth="1"/>
    <col min="4611" max="4611" width="10.7109375" style="25" customWidth="1"/>
    <col min="4612" max="4612" width="15.7109375" style="25" customWidth="1"/>
    <col min="4613" max="4614" width="13.42578125" style="25" customWidth="1"/>
    <col min="4615" max="4615" width="17.85546875" style="25" customWidth="1"/>
    <col min="4616" max="4616" width="16" style="25" customWidth="1"/>
    <col min="4617" max="4617" width="43.42578125" style="25" customWidth="1"/>
    <col min="4618" max="4865" width="9.140625" style="25"/>
    <col min="4866" max="4866" width="7" style="25" customWidth="1"/>
    <col min="4867" max="4867" width="10.7109375" style="25" customWidth="1"/>
    <col min="4868" max="4868" width="15.7109375" style="25" customWidth="1"/>
    <col min="4869" max="4870" width="13.42578125" style="25" customWidth="1"/>
    <col min="4871" max="4871" width="17.85546875" style="25" customWidth="1"/>
    <col min="4872" max="4872" width="16" style="25" customWidth="1"/>
    <col min="4873" max="4873" width="43.42578125" style="25" customWidth="1"/>
    <col min="4874" max="5121" width="9.140625" style="25"/>
    <col min="5122" max="5122" width="7" style="25" customWidth="1"/>
    <col min="5123" max="5123" width="10.7109375" style="25" customWidth="1"/>
    <col min="5124" max="5124" width="15.7109375" style="25" customWidth="1"/>
    <col min="5125" max="5126" width="13.42578125" style="25" customWidth="1"/>
    <col min="5127" max="5127" width="17.85546875" style="25" customWidth="1"/>
    <col min="5128" max="5128" width="16" style="25" customWidth="1"/>
    <col min="5129" max="5129" width="43.42578125" style="25" customWidth="1"/>
    <col min="5130" max="5377" width="9.140625" style="25"/>
    <col min="5378" max="5378" width="7" style="25" customWidth="1"/>
    <col min="5379" max="5379" width="10.7109375" style="25" customWidth="1"/>
    <col min="5380" max="5380" width="15.7109375" style="25" customWidth="1"/>
    <col min="5381" max="5382" width="13.42578125" style="25" customWidth="1"/>
    <col min="5383" max="5383" width="17.85546875" style="25" customWidth="1"/>
    <col min="5384" max="5384" width="16" style="25" customWidth="1"/>
    <col min="5385" max="5385" width="43.42578125" style="25" customWidth="1"/>
    <col min="5386" max="5633" width="9.140625" style="25"/>
    <col min="5634" max="5634" width="7" style="25" customWidth="1"/>
    <col min="5635" max="5635" width="10.7109375" style="25" customWidth="1"/>
    <col min="5636" max="5636" width="15.7109375" style="25" customWidth="1"/>
    <col min="5637" max="5638" width="13.42578125" style="25" customWidth="1"/>
    <col min="5639" max="5639" width="17.85546875" style="25" customWidth="1"/>
    <col min="5640" max="5640" width="16" style="25" customWidth="1"/>
    <col min="5641" max="5641" width="43.42578125" style="25" customWidth="1"/>
    <col min="5642" max="5889" width="9.140625" style="25"/>
    <col min="5890" max="5890" width="7" style="25" customWidth="1"/>
    <col min="5891" max="5891" width="10.7109375" style="25" customWidth="1"/>
    <col min="5892" max="5892" width="15.7109375" style="25" customWidth="1"/>
    <col min="5893" max="5894" width="13.42578125" style="25" customWidth="1"/>
    <col min="5895" max="5895" width="17.85546875" style="25" customWidth="1"/>
    <col min="5896" max="5896" width="16" style="25" customWidth="1"/>
    <col min="5897" max="5897" width="43.42578125" style="25" customWidth="1"/>
    <col min="5898" max="6145" width="9.140625" style="25"/>
    <col min="6146" max="6146" width="7" style="25" customWidth="1"/>
    <col min="6147" max="6147" width="10.7109375" style="25" customWidth="1"/>
    <col min="6148" max="6148" width="15.7109375" style="25" customWidth="1"/>
    <col min="6149" max="6150" width="13.42578125" style="25" customWidth="1"/>
    <col min="6151" max="6151" width="17.85546875" style="25" customWidth="1"/>
    <col min="6152" max="6152" width="16" style="25" customWidth="1"/>
    <col min="6153" max="6153" width="43.42578125" style="25" customWidth="1"/>
    <col min="6154" max="6401" width="9.140625" style="25"/>
    <col min="6402" max="6402" width="7" style="25" customWidth="1"/>
    <col min="6403" max="6403" width="10.7109375" style="25" customWidth="1"/>
    <col min="6404" max="6404" width="15.7109375" style="25" customWidth="1"/>
    <col min="6405" max="6406" width="13.42578125" style="25" customWidth="1"/>
    <col min="6407" max="6407" width="17.85546875" style="25" customWidth="1"/>
    <col min="6408" max="6408" width="16" style="25" customWidth="1"/>
    <col min="6409" max="6409" width="43.42578125" style="25" customWidth="1"/>
    <col min="6410" max="6657" width="9.140625" style="25"/>
    <col min="6658" max="6658" width="7" style="25" customWidth="1"/>
    <col min="6659" max="6659" width="10.7109375" style="25" customWidth="1"/>
    <col min="6660" max="6660" width="15.7109375" style="25" customWidth="1"/>
    <col min="6661" max="6662" width="13.42578125" style="25" customWidth="1"/>
    <col min="6663" max="6663" width="17.85546875" style="25" customWidth="1"/>
    <col min="6664" max="6664" width="16" style="25" customWidth="1"/>
    <col min="6665" max="6665" width="43.42578125" style="25" customWidth="1"/>
    <col min="6666" max="6913" width="9.140625" style="25"/>
    <col min="6914" max="6914" width="7" style="25" customWidth="1"/>
    <col min="6915" max="6915" width="10.7109375" style="25" customWidth="1"/>
    <col min="6916" max="6916" width="15.7109375" style="25" customWidth="1"/>
    <col min="6917" max="6918" width="13.42578125" style="25" customWidth="1"/>
    <col min="6919" max="6919" width="17.85546875" style="25" customWidth="1"/>
    <col min="6920" max="6920" width="16" style="25" customWidth="1"/>
    <col min="6921" max="6921" width="43.42578125" style="25" customWidth="1"/>
    <col min="6922" max="7169" width="9.140625" style="25"/>
    <col min="7170" max="7170" width="7" style="25" customWidth="1"/>
    <col min="7171" max="7171" width="10.7109375" style="25" customWidth="1"/>
    <col min="7172" max="7172" width="15.7109375" style="25" customWidth="1"/>
    <col min="7173" max="7174" width="13.42578125" style="25" customWidth="1"/>
    <col min="7175" max="7175" width="17.85546875" style="25" customWidth="1"/>
    <col min="7176" max="7176" width="16" style="25" customWidth="1"/>
    <col min="7177" max="7177" width="43.42578125" style="25" customWidth="1"/>
    <col min="7178" max="7425" width="9.140625" style="25"/>
    <col min="7426" max="7426" width="7" style="25" customWidth="1"/>
    <col min="7427" max="7427" width="10.7109375" style="25" customWidth="1"/>
    <col min="7428" max="7428" width="15.7109375" style="25" customWidth="1"/>
    <col min="7429" max="7430" width="13.42578125" style="25" customWidth="1"/>
    <col min="7431" max="7431" width="17.85546875" style="25" customWidth="1"/>
    <col min="7432" max="7432" width="16" style="25" customWidth="1"/>
    <col min="7433" max="7433" width="43.42578125" style="25" customWidth="1"/>
    <col min="7434" max="7681" width="9.140625" style="25"/>
    <col min="7682" max="7682" width="7" style="25" customWidth="1"/>
    <col min="7683" max="7683" width="10.7109375" style="25" customWidth="1"/>
    <col min="7684" max="7684" width="15.7109375" style="25" customWidth="1"/>
    <col min="7685" max="7686" width="13.42578125" style="25" customWidth="1"/>
    <col min="7687" max="7687" width="17.85546875" style="25" customWidth="1"/>
    <col min="7688" max="7688" width="16" style="25" customWidth="1"/>
    <col min="7689" max="7689" width="43.42578125" style="25" customWidth="1"/>
    <col min="7690" max="7937" width="9.140625" style="25"/>
    <col min="7938" max="7938" width="7" style="25" customWidth="1"/>
    <col min="7939" max="7939" width="10.7109375" style="25" customWidth="1"/>
    <col min="7940" max="7940" width="15.7109375" style="25" customWidth="1"/>
    <col min="7941" max="7942" width="13.42578125" style="25" customWidth="1"/>
    <col min="7943" max="7943" width="17.85546875" style="25" customWidth="1"/>
    <col min="7944" max="7944" width="16" style="25" customWidth="1"/>
    <col min="7945" max="7945" width="43.42578125" style="25" customWidth="1"/>
    <col min="7946" max="8193" width="9.140625" style="25"/>
    <col min="8194" max="8194" width="7" style="25" customWidth="1"/>
    <col min="8195" max="8195" width="10.7109375" style="25" customWidth="1"/>
    <col min="8196" max="8196" width="15.7109375" style="25" customWidth="1"/>
    <col min="8197" max="8198" width="13.42578125" style="25" customWidth="1"/>
    <col min="8199" max="8199" width="17.85546875" style="25" customWidth="1"/>
    <col min="8200" max="8200" width="16" style="25" customWidth="1"/>
    <col min="8201" max="8201" width="43.42578125" style="25" customWidth="1"/>
    <col min="8202" max="8449" width="9.140625" style="25"/>
    <col min="8450" max="8450" width="7" style="25" customWidth="1"/>
    <col min="8451" max="8451" width="10.7109375" style="25" customWidth="1"/>
    <col min="8452" max="8452" width="15.7109375" style="25" customWidth="1"/>
    <col min="8453" max="8454" width="13.42578125" style="25" customWidth="1"/>
    <col min="8455" max="8455" width="17.85546875" style="25" customWidth="1"/>
    <col min="8456" max="8456" width="16" style="25" customWidth="1"/>
    <col min="8457" max="8457" width="43.42578125" style="25" customWidth="1"/>
    <col min="8458" max="8705" width="9.140625" style="25"/>
    <col min="8706" max="8706" width="7" style="25" customWidth="1"/>
    <col min="8707" max="8707" width="10.7109375" style="25" customWidth="1"/>
    <col min="8708" max="8708" width="15.7109375" style="25" customWidth="1"/>
    <col min="8709" max="8710" width="13.42578125" style="25" customWidth="1"/>
    <col min="8711" max="8711" width="17.85546875" style="25" customWidth="1"/>
    <col min="8712" max="8712" width="16" style="25" customWidth="1"/>
    <col min="8713" max="8713" width="43.42578125" style="25" customWidth="1"/>
    <col min="8714" max="8961" width="9.140625" style="25"/>
    <col min="8962" max="8962" width="7" style="25" customWidth="1"/>
    <col min="8963" max="8963" width="10.7109375" style="25" customWidth="1"/>
    <col min="8964" max="8964" width="15.7109375" style="25" customWidth="1"/>
    <col min="8965" max="8966" width="13.42578125" style="25" customWidth="1"/>
    <col min="8967" max="8967" width="17.85546875" style="25" customWidth="1"/>
    <col min="8968" max="8968" width="16" style="25" customWidth="1"/>
    <col min="8969" max="8969" width="43.42578125" style="25" customWidth="1"/>
    <col min="8970" max="9217" width="9.140625" style="25"/>
    <col min="9218" max="9218" width="7" style="25" customWidth="1"/>
    <col min="9219" max="9219" width="10.7109375" style="25" customWidth="1"/>
    <col min="9220" max="9220" width="15.7109375" style="25" customWidth="1"/>
    <col min="9221" max="9222" width="13.42578125" style="25" customWidth="1"/>
    <col min="9223" max="9223" width="17.85546875" style="25" customWidth="1"/>
    <col min="9224" max="9224" width="16" style="25" customWidth="1"/>
    <col min="9225" max="9225" width="43.42578125" style="25" customWidth="1"/>
    <col min="9226" max="9473" width="9.140625" style="25"/>
    <col min="9474" max="9474" width="7" style="25" customWidth="1"/>
    <col min="9475" max="9475" width="10.7109375" style="25" customWidth="1"/>
    <col min="9476" max="9476" width="15.7109375" style="25" customWidth="1"/>
    <col min="9477" max="9478" width="13.42578125" style="25" customWidth="1"/>
    <col min="9479" max="9479" width="17.85546875" style="25" customWidth="1"/>
    <col min="9480" max="9480" width="16" style="25" customWidth="1"/>
    <col min="9481" max="9481" width="43.42578125" style="25" customWidth="1"/>
    <col min="9482" max="9729" width="9.140625" style="25"/>
    <col min="9730" max="9730" width="7" style="25" customWidth="1"/>
    <col min="9731" max="9731" width="10.7109375" style="25" customWidth="1"/>
    <col min="9732" max="9732" width="15.7109375" style="25" customWidth="1"/>
    <col min="9733" max="9734" width="13.42578125" style="25" customWidth="1"/>
    <col min="9735" max="9735" width="17.85546875" style="25" customWidth="1"/>
    <col min="9736" max="9736" width="16" style="25" customWidth="1"/>
    <col min="9737" max="9737" width="43.42578125" style="25" customWidth="1"/>
    <col min="9738" max="9985" width="9.140625" style="25"/>
    <col min="9986" max="9986" width="7" style="25" customWidth="1"/>
    <col min="9987" max="9987" width="10.7109375" style="25" customWidth="1"/>
    <col min="9988" max="9988" width="15.7109375" style="25" customWidth="1"/>
    <col min="9989" max="9990" width="13.42578125" style="25" customWidth="1"/>
    <col min="9991" max="9991" width="17.85546875" style="25" customWidth="1"/>
    <col min="9992" max="9992" width="16" style="25" customWidth="1"/>
    <col min="9993" max="9993" width="43.42578125" style="25" customWidth="1"/>
    <col min="9994" max="10241" width="9.140625" style="25"/>
    <col min="10242" max="10242" width="7" style="25" customWidth="1"/>
    <col min="10243" max="10243" width="10.7109375" style="25" customWidth="1"/>
    <col min="10244" max="10244" width="15.7109375" style="25" customWidth="1"/>
    <col min="10245" max="10246" width="13.42578125" style="25" customWidth="1"/>
    <col min="10247" max="10247" width="17.85546875" style="25" customWidth="1"/>
    <col min="10248" max="10248" width="16" style="25" customWidth="1"/>
    <col min="10249" max="10249" width="43.42578125" style="25" customWidth="1"/>
    <col min="10250" max="10497" width="9.140625" style="25"/>
    <col min="10498" max="10498" width="7" style="25" customWidth="1"/>
    <col min="10499" max="10499" width="10.7109375" style="25" customWidth="1"/>
    <col min="10500" max="10500" width="15.7109375" style="25" customWidth="1"/>
    <col min="10501" max="10502" width="13.42578125" style="25" customWidth="1"/>
    <col min="10503" max="10503" width="17.85546875" style="25" customWidth="1"/>
    <col min="10504" max="10504" width="16" style="25" customWidth="1"/>
    <col min="10505" max="10505" width="43.42578125" style="25" customWidth="1"/>
    <col min="10506" max="10753" width="9.140625" style="25"/>
    <col min="10754" max="10754" width="7" style="25" customWidth="1"/>
    <col min="10755" max="10755" width="10.7109375" style="25" customWidth="1"/>
    <col min="10756" max="10756" width="15.7109375" style="25" customWidth="1"/>
    <col min="10757" max="10758" width="13.42578125" style="25" customWidth="1"/>
    <col min="10759" max="10759" width="17.85546875" style="25" customWidth="1"/>
    <col min="10760" max="10760" width="16" style="25" customWidth="1"/>
    <col min="10761" max="10761" width="43.42578125" style="25" customWidth="1"/>
    <col min="10762" max="11009" width="9.140625" style="25"/>
    <col min="11010" max="11010" width="7" style="25" customWidth="1"/>
    <col min="11011" max="11011" width="10.7109375" style="25" customWidth="1"/>
    <col min="11012" max="11012" width="15.7109375" style="25" customWidth="1"/>
    <col min="11013" max="11014" width="13.42578125" style="25" customWidth="1"/>
    <col min="11015" max="11015" width="17.85546875" style="25" customWidth="1"/>
    <col min="11016" max="11016" width="16" style="25" customWidth="1"/>
    <col min="11017" max="11017" width="43.42578125" style="25" customWidth="1"/>
    <col min="11018" max="11265" width="9.140625" style="25"/>
    <col min="11266" max="11266" width="7" style="25" customWidth="1"/>
    <col min="11267" max="11267" width="10.7109375" style="25" customWidth="1"/>
    <col min="11268" max="11268" width="15.7109375" style="25" customWidth="1"/>
    <col min="11269" max="11270" width="13.42578125" style="25" customWidth="1"/>
    <col min="11271" max="11271" width="17.85546875" style="25" customWidth="1"/>
    <col min="11272" max="11272" width="16" style="25" customWidth="1"/>
    <col min="11273" max="11273" width="43.42578125" style="25" customWidth="1"/>
    <col min="11274" max="11521" width="9.140625" style="25"/>
    <col min="11522" max="11522" width="7" style="25" customWidth="1"/>
    <col min="11523" max="11523" width="10.7109375" style="25" customWidth="1"/>
    <col min="11524" max="11524" width="15.7109375" style="25" customWidth="1"/>
    <col min="11525" max="11526" width="13.42578125" style="25" customWidth="1"/>
    <col min="11527" max="11527" width="17.85546875" style="25" customWidth="1"/>
    <col min="11528" max="11528" width="16" style="25" customWidth="1"/>
    <col min="11529" max="11529" width="43.42578125" style="25" customWidth="1"/>
    <col min="11530" max="11777" width="9.140625" style="25"/>
    <col min="11778" max="11778" width="7" style="25" customWidth="1"/>
    <col min="11779" max="11779" width="10.7109375" style="25" customWidth="1"/>
    <col min="11780" max="11780" width="15.7109375" style="25" customWidth="1"/>
    <col min="11781" max="11782" width="13.42578125" style="25" customWidth="1"/>
    <col min="11783" max="11783" width="17.85546875" style="25" customWidth="1"/>
    <col min="11784" max="11784" width="16" style="25" customWidth="1"/>
    <col min="11785" max="11785" width="43.42578125" style="25" customWidth="1"/>
    <col min="11786" max="12033" width="9.140625" style="25"/>
    <col min="12034" max="12034" width="7" style="25" customWidth="1"/>
    <col min="12035" max="12035" width="10.7109375" style="25" customWidth="1"/>
    <col min="12036" max="12036" width="15.7109375" style="25" customWidth="1"/>
    <col min="12037" max="12038" width="13.42578125" style="25" customWidth="1"/>
    <col min="12039" max="12039" width="17.85546875" style="25" customWidth="1"/>
    <col min="12040" max="12040" width="16" style="25" customWidth="1"/>
    <col min="12041" max="12041" width="43.42578125" style="25" customWidth="1"/>
    <col min="12042" max="12289" width="9.140625" style="25"/>
    <col min="12290" max="12290" width="7" style="25" customWidth="1"/>
    <col min="12291" max="12291" width="10.7109375" style="25" customWidth="1"/>
    <col min="12292" max="12292" width="15.7109375" style="25" customWidth="1"/>
    <col min="12293" max="12294" width="13.42578125" style="25" customWidth="1"/>
    <col min="12295" max="12295" width="17.85546875" style="25" customWidth="1"/>
    <col min="12296" max="12296" width="16" style="25" customWidth="1"/>
    <col min="12297" max="12297" width="43.42578125" style="25" customWidth="1"/>
    <col min="12298" max="12545" width="9.140625" style="25"/>
    <col min="12546" max="12546" width="7" style="25" customWidth="1"/>
    <col min="12547" max="12547" width="10.7109375" style="25" customWidth="1"/>
    <col min="12548" max="12548" width="15.7109375" style="25" customWidth="1"/>
    <col min="12549" max="12550" width="13.42578125" style="25" customWidth="1"/>
    <col min="12551" max="12551" width="17.85546875" style="25" customWidth="1"/>
    <col min="12552" max="12552" width="16" style="25" customWidth="1"/>
    <col min="12553" max="12553" width="43.42578125" style="25" customWidth="1"/>
    <col min="12554" max="12801" width="9.140625" style="25"/>
    <col min="12802" max="12802" width="7" style="25" customWidth="1"/>
    <col min="12803" max="12803" width="10.7109375" style="25" customWidth="1"/>
    <col min="12804" max="12804" width="15.7109375" style="25" customWidth="1"/>
    <col min="12805" max="12806" width="13.42578125" style="25" customWidth="1"/>
    <col min="12807" max="12807" width="17.85546875" style="25" customWidth="1"/>
    <col min="12808" max="12808" width="16" style="25" customWidth="1"/>
    <col min="12809" max="12809" width="43.42578125" style="25" customWidth="1"/>
    <col min="12810" max="13057" width="9.140625" style="25"/>
    <col min="13058" max="13058" width="7" style="25" customWidth="1"/>
    <col min="13059" max="13059" width="10.7109375" style="25" customWidth="1"/>
    <col min="13060" max="13060" width="15.7109375" style="25" customWidth="1"/>
    <col min="13061" max="13062" width="13.42578125" style="25" customWidth="1"/>
    <col min="13063" max="13063" width="17.85546875" style="25" customWidth="1"/>
    <col min="13064" max="13064" width="16" style="25" customWidth="1"/>
    <col min="13065" max="13065" width="43.42578125" style="25" customWidth="1"/>
    <col min="13066" max="13313" width="9.140625" style="25"/>
    <col min="13314" max="13314" width="7" style="25" customWidth="1"/>
    <col min="13315" max="13315" width="10.7109375" style="25" customWidth="1"/>
    <col min="13316" max="13316" width="15.7109375" style="25" customWidth="1"/>
    <col min="13317" max="13318" width="13.42578125" style="25" customWidth="1"/>
    <col min="13319" max="13319" width="17.85546875" style="25" customWidth="1"/>
    <col min="13320" max="13320" width="16" style="25" customWidth="1"/>
    <col min="13321" max="13321" width="43.42578125" style="25" customWidth="1"/>
    <col min="13322" max="13569" width="9.140625" style="25"/>
    <col min="13570" max="13570" width="7" style="25" customWidth="1"/>
    <col min="13571" max="13571" width="10.7109375" style="25" customWidth="1"/>
    <col min="13572" max="13572" width="15.7109375" style="25" customWidth="1"/>
    <col min="13573" max="13574" width="13.42578125" style="25" customWidth="1"/>
    <col min="13575" max="13575" width="17.85546875" style="25" customWidth="1"/>
    <col min="13576" max="13576" width="16" style="25" customWidth="1"/>
    <col min="13577" max="13577" width="43.42578125" style="25" customWidth="1"/>
    <col min="13578" max="13825" width="9.140625" style="25"/>
    <col min="13826" max="13826" width="7" style="25" customWidth="1"/>
    <col min="13827" max="13827" width="10.7109375" style="25" customWidth="1"/>
    <col min="13828" max="13828" width="15.7109375" style="25" customWidth="1"/>
    <col min="13829" max="13830" width="13.42578125" style="25" customWidth="1"/>
    <col min="13831" max="13831" width="17.85546875" style="25" customWidth="1"/>
    <col min="13832" max="13832" width="16" style="25" customWidth="1"/>
    <col min="13833" max="13833" width="43.42578125" style="25" customWidth="1"/>
    <col min="13834" max="14081" width="9.140625" style="25"/>
    <col min="14082" max="14082" width="7" style="25" customWidth="1"/>
    <col min="14083" max="14083" width="10.7109375" style="25" customWidth="1"/>
    <col min="14084" max="14084" width="15.7109375" style="25" customWidth="1"/>
    <col min="14085" max="14086" width="13.42578125" style="25" customWidth="1"/>
    <col min="14087" max="14087" width="17.85546875" style="25" customWidth="1"/>
    <col min="14088" max="14088" width="16" style="25" customWidth="1"/>
    <col min="14089" max="14089" width="43.42578125" style="25" customWidth="1"/>
    <col min="14090" max="14337" width="9.140625" style="25"/>
    <col min="14338" max="14338" width="7" style="25" customWidth="1"/>
    <col min="14339" max="14339" width="10.7109375" style="25" customWidth="1"/>
    <col min="14340" max="14340" width="15.7109375" style="25" customWidth="1"/>
    <col min="14341" max="14342" width="13.42578125" style="25" customWidth="1"/>
    <col min="14343" max="14343" width="17.85546875" style="25" customWidth="1"/>
    <col min="14344" max="14344" width="16" style="25" customWidth="1"/>
    <col min="14345" max="14345" width="43.42578125" style="25" customWidth="1"/>
    <col min="14346" max="14593" width="9.140625" style="25"/>
    <col min="14594" max="14594" width="7" style="25" customWidth="1"/>
    <col min="14595" max="14595" width="10.7109375" style="25" customWidth="1"/>
    <col min="14596" max="14596" width="15.7109375" style="25" customWidth="1"/>
    <col min="14597" max="14598" width="13.42578125" style="25" customWidth="1"/>
    <col min="14599" max="14599" width="17.85546875" style="25" customWidth="1"/>
    <col min="14600" max="14600" width="16" style="25" customWidth="1"/>
    <col min="14601" max="14601" width="43.42578125" style="25" customWidth="1"/>
    <col min="14602" max="14849" width="9.140625" style="25"/>
    <col min="14850" max="14850" width="7" style="25" customWidth="1"/>
    <col min="14851" max="14851" width="10.7109375" style="25" customWidth="1"/>
    <col min="14852" max="14852" width="15.7109375" style="25" customWidth="1"/>
    <col min="14853" max="14854" width="13.42578125" style="25" customWidth="1"/>
    <col min="14855" max="14855" width="17.85546875" style="25" customWidth="1"/>
    <col min="14856" max="14856" width="16" style="25" customWidth="1"/>
    <col min="14857" max="14857" width="43.42578125" style="25" customWidth="1"/>
    <col min="14858" max="15105" width="9.140625" style="25"/>
    <col min="15106" max="15106" width="7" style="25" customWidth="1"/>
    <col min="15107" max="15107" width="10.7109375" style="25" customWidth="1"/>
    <col min="15108" max="15108" width="15.7109375" style="25" customWidth="1"/>
    <col min="15109" max="15110" width="13.42578125" style="25" customWidth="1"/>
    <col min="15111" max="15111" width="17.85546875" style="25" customWidth="1"/>
    <col min="15112" max="15112" width="16" style="25" customWidth="1"/>
    <col min="15113" max="15113" width="43.42578125" style="25" customWidth="1"/>
    <col min="15114" max="15361" width="9.140625" style="25"/>
    <col min="15362" max="15362" width="7" style="25" customWidth="1"/>
    <col min="15363" max="15363" width="10.7109375" style="25" customWidth="1"/>
    <col min="15364" max="15364" width="15.7109375" style="25" customWidth="1"/>
    <col min="15365" max="15366" width="13.42578125" style="25" customWidth="1"/>
    <col min="15367" max="15367" width="17.85546875" style="25" customWidth="1"/>
    <col min="15368" max="15368" width="16" style="25" customWidth="1"/>
    <col min="15369" max="15369" width="43.42578125" style="25" customWidth="1"/>
    <col min="15370" max="15617" width="9.140625" style="25"/>
    <col min="15618" max="15618" width="7" style="25" customWidth="1"/>
    <col min="15619" max="15619" width="10.7109375" style="25" customWidth="1"/>
    <col min="15620" max="15620" width="15.7109375" style="25" customWidth="1"/>
    <col min="15621" max="15622" width="13.42578125" style="25" customWidth="1"/>
    <col min="15623" max="15623" width="17.85546875" style="25" customWidth="1"/>
    <col min="15624" max="15624" width="16" style="25" customWidth="1"/>
    <col min="15625" max="15625" width="43.42578125" style="25" customWidth="1"/>
    <col min="15626" max="15873" width="9.140625" style="25"/>
    <col min="15874" max="15874" width="7" style="25" customWidth="1"/>
    <col min="15875" max="15875" width="10.7109375" style="25" customWidth="1"/>
    <col min="15876" max="15876" width="15.7109375" style="25" customWidth="1"/>
    <col min="15877" max="15878" width="13.42578125" style="25" customWidth="1"/>
    <col min="15879" max="15879" width="17.85546875" style="25" customWidth="1"/>
    <col min="15880" max="15880" width="16" style="25" customWidth="1"/>
    <col min="15881" max="15881" width="43.42578125" style="25" customWidth="1"/>
    <col min="15882" max="16129" width="9.140625" style="25"/>
    <col min="16130" max="16130" width="7" style="25" customWidth="1"/>
    <col min="16131" max="16131" width="10.7109375" style="25" customWidth="1"/>
    <col min="16132" max="16132" width="15.7109375" style="25" customWidth="1"/>
    <col min="16133" max="16134" width="13.42578125" style="25" customWidth="1"/>
    <col min="16135" max="16135" width="17.85546875" style="25" customWidth="1"/>
    <col min="16136" max="16136" width="16" style="25" customWidth="1"/>
    <col min="16137" max="16137" width="43.42578125" style="25" customWidth="1"/>
    <col min="16138" max="16384" width="9.140625" style="25"/>
  </cols>
  <sheetData>
    <row r="1" spans="1:9" ht="17.25" customHeight="1"/>
    <row r="2" spans="1:9" ht="45.75" customHeight="1">
      <c r="A2" s="2517" t="s">
        <v>69</v>
      </c>
      <c r="B2" s="2517"/>
      <c r="C2" s="2517"/>
      <c r="D2" s="2517"/>
      <c r="E2" s="2517"/>
      <c r="F2" s="2517"/>
      <c r="G2" s="2517"/>
      <c r="H2" s="2517"/>
      <c r="I2" s="2517"/>
    </row>
    <row r="3" spans="1:9" ht="18" customHeight="1" thickBot="1">
      <c r="A3" s="2518"/>
      <c r="B3" s="2518"/>
      <c r="C3" s="289"/>
      <c r="D3" s="289"/>
      <c r="E3" s="289"/>
      <c r="F3" s="290"/>
      <c r="G3" s="290"/>
      <c r="H3" s="290"/>
      <c r="I3" s="343" t="s">
        <v>37</v>
      </c>
    </row>
    <row r="4" spans="1:9" ht="15.75" customHeight="1" thickBot="1">
      <c r="A4" s="2452" t="s">
        <v>0</v>
      </c>
      <c r="B4" s="2439" t="s">
        <v>44</v>
      </c>
      <c r="C4" s="2453" t="s">
        <v>45</v>
      </c>
      <c r="D4" s="2466" t="s">
        <v>8</v>
      </c>
      <c r="E4" s="2451" t="s">
        <v>46</v>
      </c>
      <c r="F4" s="2466"/>
      <c r="G4" s="2466"/>
      <c r="H4" s="2450"/>
      <c r="I4" s="2452" t="s">
        <v>57</v>
      </c>
    </row>
    <row r="5" spans="1:9" ht="21" customHeight="1" thickBot="1">
      <c r="A5" s="2452"/>
      <c r="B5" s="2440"/>
      <c r="C5" s="2490"/>
      <c r="D5" s="2466"/>
      <c r="E5" s="2451" t="s">
        <v>47</v>
      </c>
      <c r="F5" s="2466" t="s">
        <v>48</v>
      </c>
      <c r="G5" s="2519" t="s">
        <v>49</v>
      </c>
      <c r="H5" s="2520"/>
      <c r="I5" s="2452"/>
    </row>
    <row r="6" spans="1:9" ht="24" customHeight="1" thickBot="1">
      <c r="A6" s="2439"/>
      <c r="B6" s="2441"/>
      <c r="C6" s="2454"/>
      <c r="D6" s="2453"/>
      <c r="E6" s="2442"/>
      <c r="F6" s="2453"/>
      <c r="G6" s="487" t="s">
        <v>50</v>
      </c>
      <c r="H6" s="488" t="s">
        <v>51</v>
      </c>
      <c r="I6" s="2439"/>
    </row>
    <row r="7" spans="1:9" s="29" customFormat="1" ht="21" customHeight="1" thickBot="1">
      <c r="A7" s="354" t="s">
        <v>5</v>
      </c>
      <c r="B7" s="111"/>
      <c r="C7" s="355" t="s">
        <v>52</v>
      </c>
      <c r="D7" s="111"/>
      <c r="E7" s="112">
        <f>SUM(E8)</f>
        <v>11273769</v>
      </c>
      <c r="F7" s="112">
        <f t="shared" ref="F7:H7" si="0">SUM(F8)</f>
        <v>11035666</v>
      </c>
      <c r="G7" s="112">
        <f t="shared" si="0"/>
        <v>2985779</v>
      </c>
      <c r="H7" s="112">
        <f t="shared" si="0"/>
        <v>8049887</v>
      </c>
      <c r="I7" s="162"/>
    </row>
    <row r="8" spans="1:9" s="30" customFormat="1" ht="33" customHeight="1" thickBot="1">
      <c r="A8" s="2506"/>
      <c r="B8" s="103" t="s">
        <v>9</v>
      </c>
      <c r="C8" s="350" t="s">
        <v>10</v>
      </c>
      <c r="D8" s="103"/>
      <c r="E8" s="351">
        <f>SUM(E9:E12)</f>
        <v>11273769</v>
      </c>
      <c r="F8" s="352">
        <f>SUM(F9:F12)</f>
        <v>11035666</v>
      </c>
      <c r="G8" s="352">
        <f>SUM(G9:G12)</f>
        <v>2985779</v>
      </c>
      <c r="H8" s="353">
        <f>SUM(H9:H12)</f>
        <v>8049887</v>
      </c>
      <c r="I8" s="291"/>
    </row>
    <row r="9" spans="1:9" s="24" customFormat="1" ht="36.75" customHeight="1">
      <c r="A9" s="2506"/>
      <c r="B9" s="2521"/>
      <c r="C9" s="2523"/>
      <c r="D9" s="267" t="s">
        <v>16</v>
      </c>
      <c r="E9" s="94">
        <v>2962500</v>
      </c>
      <c r="F9" s="344">
        <f>SUM(G9:H9)</f>
        <v>2919047</v>
      </c>
      <c r="G9" s="337">
        <v>2919047</v>
      </c>
      <c r="H9" s="345">
        <v>0</v>
      </c>
      <c r="I9" s="2515" t="s">
        <v>206</v>
      </c>
    </row>
    <row r="10" spans="1:9" s="24" customFormat="1" ht="29.25" customHeight="1">
      <c r="A10" s="2506"/>
      <c r="B10" s="2522"/>
      <c r="C10" s="2524"/>
      <c r="D10" s="346" t="s">
        <v>18</v>
      </c>
      <c r="E10" s="347">
        <v>8146300</v>
      </c>
      <c r="F10" s="344">
        <f>SUM(G10:H10)</f>
        <v>7994887</v>
      </c>
      <c r="G10" s="325">
        <v>0</v>
      </c>
      <c r="H10" s="325">
        <v>7994887</v>
      </c>
      <c r="I10" s="2516"/>
    </row>
    <row r="11" spans="1:9" s="24" customFormat="1" ht="84" customHeight="1">
      <c r="A11" s="2506"/>
      <c r="B11" s="2522"/>
      <c r="C11" s="2524"/>
      <c r="D11" s="346" t="s">
        <v>17</v>
      </c>
      <c r="E11" s="347">
        <v>70000</v>
      </c>
      <c r="F11" s="344">
        <f t="shared" ref="F11:F12" si="1">SUM(G11:H11)</f>
        <v>66732</v>
      </c>
      <c r="G11" s="325">
        <v>66732</v>
      </c>
      <c r="H11" s="348">
        <v>0</v>
      </c>
      <c r="I11" s="349" t="s">
        <v>1018</v>
      </c>
    </row>
    <row r="12" spans="1:9" s="24" customFormat="1" ht="57.75" customHeight="1" thickBot="1">
      <c r="A12" s="2507"/>
      <c r="B12" s="2522"/>
      <c r="C12" s="2524"/>
      <c r="D12" s="346" t="s">
        <v>21</v>
      </c>
      <c r="E12" s="347">
        <v>94969</v>
      </c>
      <c r="F12" s="344">
        <f t="shared" si="1"/>
        <v>55000</v>
      </c>
      <c r="G12" s="325">
        <v>0</v>
      </c>
      <c r="H12" s="348">
        <v>55000</v>
      </c>
      <c r="I12" s="349" t="s">
        <v>1019</v>
      </c>
    </row>
    <row r="13" spans="1:9" ht="24" customHeight="1" thickBot="1">
      <c r="A13" s="354" t="s">
        <v>13</v>
      </c>
      <c r="B13" s="371"/>
      <c r="C13" s="372" t="s">
        <v>58</v>
      </c>
      <c r="D13" s="371"/>
      <c r="E13" s="112">
        <f>SUM(E16,E14,E19,E21,E23)</f>
        <v>5716800</v>
      </c>
      <c r="F13" s="112">
        <f t="shared" ref="F13:H13" si="2">SUM(F16,F14,F19,F21,F23)</f>
        <v>4538189</v>
      </c>
      <c r="G13" s="112">
        <f t="shared" si="2"/>
        <v>632389</v>
      </c>
      <c r="H13" s="112">
        <f t="shared" si="2"/>
        <v>3905800</v>
      </c>
      <c r="I13" s="126"/>
    </row>
    <row r="14" spans="1:9" ht="36.75" customHeight="1" thickBot="1">
      <c r="A14" s="2505"/>
      <c r="B14" s="103" t="s">
        <v>128</v>
      </c>
      <c r="C14" s="358" t="s">
        <v>129</v>
      </c>
      <c r="D14" s="103"/>
      <c r="E14" s="351">
        <f>SUM(E15:E15)</f>
        <v>120000</v>
      </c>
      <c r="F14" s="359">
        <f>SUM(G14:H14)</f>
        <v>38818</v>
      </c>
      <c r="G14" s="359">
        <f>SUM(G15:G15)</f>
        <v>38818</v>
      </c>
      <c r="H14" s="360">
        <f>SUM(H15:H15)</f>
        <v>0</v>
      </c>
      <c r="I14" s="155"/>
    </row>
    <row r="15" spans="1:9" ht="65.25" customHeight="1" thickBot="1">
      <c r="A15" s="2506"/>
      <c r="B15" s="292"/>
      <c r="C15" s="158"/>
      <c r="D15" s="482" t="s">
        <v>19</v>
      </c>
      <c r="E15" s="356">
        <v>120000</v>
      </c>
      <c r="F15" s="344">
        <v>38818</v>
      </c>
      <c r="G15" s="322">
        <v>38818</v>
      </c>
      <c r="H15" s="357">
        <v>0</v>
      </c>
      <c r="I15" s="268" t="s">
        <v>178</v>
      </c>
    </row>
    <row r="16" spans="1:9" s="30" customFormat="1" ht="30.75" customHeight="1" thickBot="1">
      <c r="A16" s="2506"/>
      <c r="B16" s="103" t="s">
        <v>195</v>
      </c>
      <c r="C16" s="358" t="s">
        <v>196</v>
      </c>
      <c r="D16" s="103"/>
      <c r="E16" s="351">
        <f>SUM(E17:E18)</f>
        <v>4941000</v>
      </c>
      <c r="F16" s="351">
        <f>SUM(F17:F18)</f>
        <v>3883571</v>
      </c>
      <c r="G16" s="351">
        <f>SUM(G17:G18)</f>
        <v>593571</v>
      </c>
      <c r="H16" s="351">
        <f>SUM(H17:H18)</f>
        <v>3290000</v>
      </c>
      <c r="I16" s="364"/>
    </row>
    <row r="17" spans="1:11" s="30" customFormat="1" ht="85.5" customHeight="1" thickBot="1">
      <c r="A17" s="2507"/>
      <c r="B17" s="492"/>
      <c r="C17" s="493"/>
      <c r="D17" s="483" t="s">
        <v>19</v>
      </c>
      <c r="E17" s="367">
        <v>751000</v>
      </c>
      <c r="F17" s="31">
        <f>SUM(G17:H17)</f>
        <v>593571</v>
      </c>
      <c r="G17" s="31">
        <v>593571</v>
      </c>
      <c r="H17" s="368">
        <v>0</v>
      </c>
      <c r="I17" s="269" t="s">
        <v>223</v>
      </c>
    </row>
    <row r="18" spans="1:11" s="30" customFormat="1" ht="138" customHeight="1" thickBot="1">
      <c r="A18" s="298"/>
      <c r="B18" s="294"/>
      <c r="C18" s="489"/>
      <c r="D18" s="483" t="s">
        <v>22</v>
      </c>
      <c r="E18" s="367">
        <v>4190000</v>
      </c>
      <c r="F18" s="31">
        <f>SUM(G18:H18)</f>
        <v>3290000</v>
      </c>
      <c r="G18" s="490">
        <v>0</v>
      </c>
      <c r="H18" s="491">
        <v>3290000</v>
      </c>
      <c r="I18" s="269" t="s">
        <v>207</v>
      </c>
    </row>
    <row r="19" spans="1:11" s="24" customFormat="1" ht="30.75" customHeight="1" thickBot="1">
      <c r="A19" s="2509"/>
      <c r="B19" s="103" t="s">
        <v>70</v>
      </c>
      <c r="C19" s="358" t="s">
        <v>71</v>
      </c>
      <c r="D19" s="103"/>
      <c r="E19" s="127">
        <f>SUM(E20)</f>
        <v>420000</v>
      </c>
      <c r="F19" s="127">
        <f t="shared" ref="F19:H19" si="3">SUM(F20)</f>
        <v>410000</v>
      </c>
      <c r="G19" s="127">
        <f t="shared" si="3"/>
        <v>0</v>
      </c>
      <c r="H19" s="127">
        <f t="shared" si="3"/>
        <v>410000</v>
      </c>
      <c r="I19" s="156"/>
    </row>
    <row r="20" spans="1:11" s="24" customFormat="1" ht="127.5" customHeight="1" thickBot="1">
      <c r="A20" s="2510"/>
      <c r="B20" s="270"/>
      <c r="C20" s="293"/>
      <c r="D20" s="318" t="s">
        <v>22</v>
      </c>
      <c r="E20" s="40">
        <v>420000</v>
      </c>
      <c r="F20" s="31">
        <f>SUM(G20:H20)</f>
        <v>410000</v>
      </c>
      <c r="G20" s="342">
        <v>0</v>
      </c>
      <c r="H20" s="58">
        <v>410000</v>
      </c>
      <c r="I20" s="365" t="s">
        <v>208</v>
      </c>
    </row>
    <row r="21" spans="1:11" s="24" customFormat="1" ht="29.25" thickBot="1">
      <c r="A21" s="2510"/>
      <c r="B21" s="103" t="s">
        <v>130</v>
      </c>
      <c r="C21" s="358" t="s">
        <v>131</v>
      </c>
      <c r="D21" s="103"/>
      <c r="E21" s="351">
        <f>SUM(E22)</f>
        <v>175800</v>
      </c>
      <c r="F21" s="359">
        <f>SUM(G21:H21)</f>
        <v>175800</v>
      </c>
      <c r="G21" s="359">
        <f>SUM(G22)</f>
        <v>0</v>
      </c>
      <c r="H21" s="360">
        <f>SUM(H22)</f>
        <v>175800</v>
      </c>
      <c r="I21" s="364"/>
    </row>
    <row r="22" spans="1:11" s="24" customFormat="1" ht="125.25" customHeight="1" thickBot="1">
      <c r="A22" s="2510"/>
      <c r="B22" s="366"/>
      <c r="C22" s="91"/>
      <c r="D22" s="318" t="s">
        <v>22</v>
      </c>
      <c r="E22" s="367">
        <v>175800</v>
      </c>
      <c r="F22" s="31">
        <f>SUM(G22:H22)</f>
        <v>175800</v>
      </c>
      <c r="G22" s="31">
        <v>0</v>
      </c>
      <c r="H22" s="368">
        <v>175800</v>
      </c>
      <c r="I22" s="369" t="s">
        <v>209</v>
      </c>
    </row>
    <row r="23" spans="1:11" s="24" customFormat="1" ht="24" customHeight="1" thickBot="1">
      <c r="A23" s="2510"/>
      <c r="B23" s="103" t="s">
        <v>132</v>
      </c>
      <c r="C23" s="358" t="s">
        <v>11</v>
      </c>
      <c r="D23" s="103"/>
      <c r="E23" s="351">
        <f>SUM(E24)</f>
        <v>60000</v>
      </c>
      <c r="F23" s="359">
        <f>SUM(G23:H23)</f>
        <v>30000</v>
      </c>
      <c r="G23" s="359">
        <f>SUM(G24)</f>
        <v>0</v>
      </c>
      <c r="H23" s="360">
        <f>SUM(H24)</f>
        <v>30000</v>
      </c>
      <c r="I23" s="155"/>
    </row>
    <row r="24" spans="1:11" s="24" customFormat="1" ht="122.25" customHeight="1" thickBot="1">
      <c r="A24" s="2511"/>
      <c r="B24" s="366"/>
      <c r="C24" s="91"/>
      <c r="D24" s="318" t="s">
        <v>22</v>
      </c>
      <c r="E24" s="367">
        <v>60000</v>
      </c>
      <c r="F24" s="31">
        <f>SUM(G24:H24)</f>
        <v>30000</v>
      </c>
      <c r="G24" s="31">
        <v>0</v>
      </c>
      <c r="H24" s="368">
        <v>30000</v>
      </c>
      <c r="I24" s="369" t="s">
        <v>210</v>
      </c>
    </row>
    <row r="25" spans="1:11" s="24" customFormat="1" ht="31.5" customHeight="1" thickBot="1">
      <c r="A25" s="354" t="s">
        <v>72</v>
      </c>
      <c r="B25" s="371"/>
      <c r="C25" s="372" t="s">
        <v>73</v>
      </c>
      <c r="D25" s="371"/>
      <c r="E25" s="112">
        <f>SUM(E28,E26)</f>
        <v>200000</v>
      </c>
      <c r="F25" s="112">
        <f>SUM(F28,F26)</f>
        <v>194163</v>
      </c>
      <c r="G25" s="112">
        <f>SUM(G28,G26)</f>
        <v>20000</v>
      </c>
      <c r="H25" s="112">
        <f>SUM(H28,H26)</f>
        <v>174163</v>
      </c>
      <c r="I25" s="126"/>
      <c r="J25" s="34">
        <f>SUM(G25:H25)</f>
        <v>194163</v>
      </c>
    </row>
    <row r="26" spans="1:11" s="24" customFormat="1" ht="40.5" customHeight="1" thickBot="1">
      <c r="A26" s="2433"/>
      <c r="B26" s="103" t="s">
        <v>74</v>
      </c>
      <c r="C26" s="358" t="s">
        <v>75</v>
      </c>
      <c r="D26" s="103"/>
      <c r="E26" s="351">
        <f>SUM(E27)</f>
        <v>20000</v>
      </c>
      <c r="F26" s="359">
        <f>SUM(G26:H26)</f>
        <v>20000</v>
      </c>
      <c r="G26" s="359">
        <f>SUM(G27)</f>
        <v>0</v>
      </c>
      <c r="H26" s="360">
        <f>SUM(H27)</f>
        <v>20000</v>
      </c>
      <c r="I26" s="364"/>
    </row>
    <row r="27" spans="1:11" s="24" customFormat="1" ht="155.25" customHeight="1" thickBot="1">
      <c r="A27" s="2492"/>
      <c r="B27" s="366"/>
      <c r="C27" s="91"/>
      <c r="D27" s="318" t="s">
        <v>22</v>
      </c>
      <c r="E27" s="367">
        <v>20000</v>
      </c>
      <c r="F27" s="31">
        <f>SUM(G27:H27)</f>
        <v>20000</v>
      </c>
      <c r="G27" s="31">
        <v>0</v>
      </c>
      <c r="H27" s="368">
        <v>20000</v>
      </c>
      <c r="I27" s="370" t="s">
        <v>211</v>
      </c>
      <c r="K27" s="157"/>
    </row>
    <row r="28" spans="1:11" s="24" customFormat="1" ht="23.25" customHeight="1" thickBot="1">
      <c r="A28" s="2492"/>
      <c r="B28" s="103" t="s">
        <v>76</v>
      </c>
      <c r="C28" s="358" t="s">
        <v>11</v>
      </c>
      <c r="D28" s="103"/>
      <c r="E28" s="351">
        <f>SUM(E29:E30)</f>
        <v>180000</v>
      </c>
      <c r="F28" s="351">
        <f t="shared" ref="F28:H28" si="4">SUM(F29:F30)</f>
        <v>174163</v>
      </c>
      <c r="G28" s="351">
        <f t="shared" si="4"/>
        <v>20000</v>
      </c>
      <c r="H28" s="351">
        <f t="shared" si="4"/>
        <v>154163</v>
      </c>
      <c r="I28" s="364"/>
      <c r="K28" s="157"/>
    </row>
    <row r="29" spans="1:11" s="24" customFormat="1" ht="39.75" customHeight="1">
      <c r="A29" s="2492"/>
      <c r="B29" s="2513"/>
      <c r="C29" s="2512"/>
      <c r="D29" s="317" t="s">
        <v>77</v>
      </c>
      <c r="E29" s="373">
        <v>20000</v>
      </c>
      <c r="F29" s="322">
        <f>SUM(G29:H29)</f>
        <v>20000</v>
      </c>
      <c r="G29" s="323">
        <v>20000</v>
      </c>
      <c r="H29" s="116">
        <v>0</v>
      </c>
      <c r="I29" s="374" t="s">
        <v>221</v>
      </c>
      <c r="K29" s="157"/>
    </row>
    <row r="30" spans="1:11" s="24" customFormat="1" ht="108" customHeight="1" thickBot="1">
      <c r="A30" s="2493"/>
      <c r="B30" s="2514"/>
      <c r="C30" s="2504"/>
      <c r="D30" s="42" t="s">
        <v>22</v>
      </c>
      <c r="E30" s="39">
        <v>160000</v>
      </c>
      <c r="F30" s="362">
        <f>SUM(G30:H30)</f>
        <v>154163</v>
      </c>
      <c r="G30" s="375">
        <v>0</v>
      </c>
      <c r="H30" s="376">
        <v>154163</v>
      </c>
      <c r="I30" s="377" t="s">
        <v>212</v>
      </c>
      <c r="K30" s="157"/>
    </row>
    <row r="31" spans="1:11" s="24" customFormat="1" ht="39" customHeight="1" thickBot="1">
      <c r="A31" s="354" t="s">
        <v>78</v>
      </c>
      <c r="B31" s="371"/>
      <c r="C31" s="372" t="s">
        <v>79</v>
      </c>
      <c r="D31" s="371"/>
      <c r="E31" s="112">
        <f>SUM(E36,E32)</f>
        <v>258074</v>
      </c>
      <c r="F31" s="112">
        <f>SUM(F36,F32)</f>
        <v>234557</v>
      </c>
      <c r="G31" s="112">
        <f>SUM(G36,G32)</f>
        <v>59566</v>
      </c>
      <c r="H31" s="112">
        <f>SUM(H36,H32)</f>
        <v>174991</v>
      </c>
      <c r="I31" s="126"/>
    </row>
    <row r="32" spans="1:11" s="24" customFormat="1" ht="35.25" customHeight="1" thickBot="1">
      <c r="A32" s="2433"/>
      <c r="B32" s="507" t="s">
        <v>80</v>
      </c>
      <c r="C32" s="508" t="s">
        <v>81</v>
      </c>
      <c r="D32" s="507"/>
      <c r="E32" s="509">
        <f>SUM(E33:E34)</f>
        <v>239034</v>
      </c>
      <c r="F32" s="509">
        <f>SUM(F33:F34)</f>
        <v>215517</v>
      </c>
      <c r="G32" s="510">
        <f>SUM(G33:G34)</f>
        <v>59566</v>
      </c>
      <c r="H32" s="511">
        <f>SUM(H33:H34)</f>
        <v>155951</v>
      </c>
      <c r="I32" s="512"/>
    </row>
    <row r="33" spans="1:9" s="24" customFormat="1" ht="362.25" customHeight="1" thickBot="1">
      <c r="A33" s="2493"/>
      <c r="B33" s="513"/>
      <c r="C33" s="514"/>
      <c r="D33" s="281" t="s">
        <v>19</v>
      </c>
      <c r="E33" s="515">
        <v>59568</v>
      </c>
      <c r="F33" s="516">
        <f>SUM(G33:H33)</f>
        <v>59566</v>
      </c>
      <c r="G33" s="516">
        <v>59566</v>
      </c>
      <c r="H33" s="517">
        <v>0</v>
      </c>
      <c r="I33" s="518" t="s">
        <v>1020</v>
      </c>
    </row>
    <row r="34" spans="1:9" s="24" customFormat="1" ht="257.25" customHeight="1">
      <c r="A34" s="494"/>
      <c r="B34" s="505"/>
      <c r="C34" s="506"/>
      <c r="D34" s="2477" t="s">
        <v>22</v>
      </c>
      <c r="E34" s="2539">
        <v>179466</v>
      </c>
      <c r="F34" s="2541">
        <f>SUM(G34:H35)</f>
        <v>155951</v>
      </c>
      <c r="G34" s="2537">
        <v>0</v>
      </c>
      <c r="H34" s="2479">
        <v>155951</v>
      </c>
      <c r="I34" s="2535" t="s">
        <v>226</v>
      </c>
    </row>
    <row r="35" spans="1:9" s="24" customFormat="1" ht="306.75" customHeight="1" thickBot="1">
      <c r="A35" s="495"/>
      <c r="B35" s="366"/>
      <c r="C35" s="486"/>
      <c r="D35" s="2478"/>
      <c r="E35" s="2540"/>
      <c r="F35" s="2542"/>
      <c r="G35" s="2538"/>
      <c r="H35" s="2481"/>
      <c r="I35" s="2536"/>
    </row>
    <row r="36" spans="1:9" s="24" customFormat="1" ht="33" customHeight="1" thickBot="1">
      <c r="A36" s="295"/>
      <c r="B36" s="103" t="s">
        <v>82</v>
      </c>
      <c r="C36" s="358" t="s">
        <v>11</v>
      </c>
      <c r="D36" s="103"/>
      <c r="E36" s="351">
        <f>SUM(E37:E37)</f>
        <v>19040</v>
      </c>
      <c r="F36" s="351">
        <f>SUM(F37:F37)</f>
        <v>19040</v>
      </c>
      <c r="G36" s="359">
        <f>SUM(G37:G37)</f>
        <v>0</v>
      </c>
      <c r="H36" s="359">
        <f>SUM(H37:H37)</f>
        <v>19040</v>
      </c>
      <c r="I36" s="155"/>
    </row>
    <row r="37" spans="1:9" s="24" customFormat="1" ht="171.75" customHeight="1" thickBot="1">
      <c r="A37" s="296"/>
      <c r="B37" s="366"/>
      <c r="C37" s="91"/>
      <c r="D37" s="318" t="s">
        <v>22</v>
      </c>
      <c r="E37" s="40">
        <v>19040</v>
      </c>
      <c r="F37" s="31">
        <f>SUM(G37:H37)</f>
        <v>19040</v>
      </c>
      <c r="G37" s="342">
        <v>0</v>
      </c>
      <c r="H37" s="58">
        <v>19040</v>
      </c>
      <c r="I37" s="365" t="s">
        <v>225</v>
      </c>
    </row>
    <row r="38" spans="1:9" ht="30" customHeight="1" thickBot="1">
      <c r="A38" s="381" t="s">
        <v>7</v>
      </c>
      <c r="B38" s="382"/>
      <c r="C38" s="383" t="s">
        <v>59</v>
      </c>
      <c r="D38" s="382"/>
      <c r="E38" s="384">
        <f>SUM(E39)</f>
        <v>308597</v>
      </c>
      <c r="F38" s="385">
        <f t="shared" ref="F38:H38" si="5">SUM(F39)</f>
        <v>308597</v>
      </c>
      <c r="G38" s="385">
        <f t="shared" si="5"/>
        <v>308597</v>
      </c>
      <c r="H38" s="386">
        <f t="shared" si="5"/>
        <v>0</v>
      </c>
      <c r="I38" s="387"/>
    </row>
    <row r="39" spans="1:9" s="30" customFormat="1" ht="33.75" customHeight="1">
      <c r="A39" s="2433"/>
      <c r="B39" s="388" t="s">
        <v>83</v>
      </c>
      <c r="C39" s="389" t="s">
        <v>11</v>
      </c>
      <c r="D39" s="388"/>
      <c r="E39" s="390">
        <f>SUM(E40:E41)</f>
        <v>308597</v>
      </c>
      <c r="F39" s="390">
        <f>SUM(F40:F41)</f>
        <v>308597</v>
      </c>
      <c r="G39" s="390">
        <f>SUM(G40:G41)</f>
        <v>308597</v>
      </c>
      <c r="H39" s="390">
        <f t="shared" ref="H39" si="6">SUM(H40:H41)</f>
        <v>0</v>
      </c>
      <c r="I39" s="391"/>
    </row>
    <row r="40" spans="1:9" s="24" customFormat="1" ht="90" customHeight="1">
      <c r="A40" s="2434"/>
      <c r="B40" s="2431"/>
      <c r="C40" s="2503"/>
      <c r="D40" s="481" t="s">
        <v>77</v>
      </c>
      <c r="E40" s="378">
        <v>298597</v>
      </c>
      <c r="F40" s="36">
        <f t="shared" ref="F40:F41" si="7">SUM(G40:H40)</f>
        <v>298597</v>
      </c>
      <c r="G40" s="47">
        <v>298597</v>
      </c>
      <c r="H40" s="379">
        <v>0</v>
      </c>
      <c r="I40" s="380" t="s">
        <v>133</v>
      </c>
    </row>
    <row r="41" spans="1:9" s="24" customFormat="1" ht="87" customHeight="1" thickBot="1">
      <c r="A41" s="2435"/>
      <c r="B41" s="2478"/>
      <c r="C41" s="2504"/>
      <c r="D41" s="42" t="s">
        <v>19</v>
      </c>
      <c r="E41" s="39">
        <v>10000</v>
      </c>
      <c r="F41" s="363">
        <f t="shared" si="7"/>
        <v>10000</v>
      </c>
      <c r="G41" s="375">
        <v>10000</v>
      </c>
      <c r="H41" s="376">
        <v>0</v>
      </c>
      <c r="I41" s="377" t="s">
        <v>213</v>
      </c>
    </row>
    <row r="42" spans="1:9" s="24" customFormat="1" ht="40.5" customHeight="1" thickBot="1">
      <c r="A42" s="392" t="s">
        <v>134</v>
      </c>
      <c r="B42" s="393"/>
      <c r="C42" s="394" t="s">
        <v>135</v>
      </c>
      <c r="D42" s="393"/>
      <c r="E42" s="395">
        <f>SUM(E43:E43)</f>
        <v>59600</v>
      </c>
      <c r="F42" s="395">
        <f>SUM(F43:F43)</f>
        <v>59600</v>
      </c>
      <c r="G42" s="395">
        <f>SUM(G43:G43)</f>
        <v>19600</v>
      </c>
      <c r="H42" s="395">
        <f t="shared" ref="H42" si="8">SUM(H43:H43)</f>
        <v>40000</v>
      </c>
      <c r="I42" s="159"/>
    </row>
    <row r="43" spans="1:9" s="24" customFormat="1" ht="51" customHeight="1" thickBot="1">
      <c r="A43" s="2433"/>
      <c r="B43" s="103" t="s">
        <v>136</v>
      </c>
      <c r="C43" s="396" t="s">
        <v>137</v>
      </c>
      <c r="D43" s="397"/>
      <c r="E43" s="351">
        <f>SUM(E44:E45)</f>
        <v>59600</v>
      </c>
      <c r="F43" s="398">
        <f>SUM(G43:H43)</f>
        <v>59600</v>
      </c>
      <c r="G43" s="399">
        <f>SUM(G44:G45)</f>
        <v>19600</v>
      </c>
      <c r="H43" s="107">
        <f>SUM(H44:H45)</f>
        <v>40000</v>
      </c>
      <c r="I43" s="161"/>
    </row>
    <row r="44" spans="1:9" s="24" customFormat="1" ht="162.75" customHeight="1">
      <c r="A44" s="2434"/>
      <c r="B44" s="2477"/>
      <c r="C44" s="2512"/>
      <c r="D44" s="267" t="s">
        <v>19</v>
      </c>
      <c r="E44" s="94">
        <v>19600</v>
      </c>
      <c r="F44" s="160">
        <f>SUM(G44:H44)</f>
        <v>19600</v>
      </c>
      <c r="G44" s="160">
        <v>19600</v>
      </c>
      <c r="H44" s="95">
        <v>0</v>
      </c>
      <c r="I44" s="402" t="s">
        <v>224</v>
      </c>
    </row>
    <row r="45" spans="1:9" s="24" customFormat="1" ht="258" customHeight="1" thickBot="1">
      <c r="A45" s="2435"/>
      <c r="B45" s="2478"/>
      <c r="C45" s="2504"/>
      <c r="D45" s="483" t="s">
        <v>22</v>
      </c>
      <c r="E45" s="39">
        <v>40000</v>
      </c>
      <c r="F45" s="504">
        <f>SUM(G45:H45)</f>
        <v>40000</v>
      </c>
      <c r="G45" s="504">
        <v>0</v>
      </c>
      <c r="H45" s="56">
        <v>40000</v>
      </c>
      <c r="I45" s="377" t="s">
        <v>228</v>
      </c>
    </row>
    <row r="46" spans="1:9" s="24" customFormat="1" ht="22.5" customHeight="1" thickBot="1">
      <c r="A46" s="403" t="s">
        <v>84</v>
      </c>
      <c r="B46" s="404"/>
      <c r="C46" s="405" t="s">
        <v>85</v>
      </c>
      <c r="D46" s="404"/>
      <c r="E46" s="406">
        <f>SUM(E47:E47)</f>
        <v>30000</v>
      </c>
      <c r="F46" s="406">
        <f t="shared" ref="F46:H46" si="9">SUM(F47:F47)</f>
        <v>30000</v>
      </c>
      <c r="G46" s="406">
        <f t="shared" si="9"/>
        <v>0</v>
      </c>
      <c r="H46" s="406">
        <f t="shared" si="9"/>
        <v>30000</v>
      </c>
      <c r="I46" s="407"/>
    </row>
    <row r="47" spans="1:9" s="24" customFormat="1" ht="26.25" customHeight="1">
      <c r="A47" s="2508"/>
      <c r="B47" s="408" t="s">
        <v>138</v>
      </c>
      <c r="C47" s="409" t="s">
        <v>139</v>
      </c>
      <c r="D47" s="410"/>
      <c r="E47" s="411">
        <f>SUM(E48)</f>
        <v>30000</v>
      </c>
      <c r="F47" s="412">
        <f t="shared" ref="F47:F48" si="10">SUM(G47:H47)</f>
        <v>30000</v>
      </c>
      <c r="G47" s="413">
        <f t="shared" ref="G47:H47" si="11">SUM(G48)</f>
        <v>0</v>
      </c>
      <c r="H47" s="414">
        <f t="shared" si="11"/>
        <v>30000</v>
      </c>
      <c r="I47" s="415"/>
    </row>
    <row r="48" spans="1:9" s="24" customFormat="1" ht="165" customHeight="1" thickBot="1">
      <c r="A48" s="2508"/>
      <c r="B48" s="346"/>
      <c r="C48" s="416"/>
      <c r="D48" s="346" t="s">
        <v>22</v>
      </c>
      <c r="E48" s="347">
        <v>30000</v>
      </c>
      <c r="F48" s="400">
        <f t="shared" si="10"/>
        <v>30000</v>
      </c>
      <c r="G48" s="400">
        <v>0</v>
      </c>
      <c r="H48" s="401">
        <v>30000</v>
      </c>
      <c r="I48" s="417" t="s">
        <v>227</v>
      </c>
    </row>
    <row r="49" spans="1:9" s="29" customFormat="1" ht="30" customHeight="1" thickBot="1">
      <c r="A49" s="354" t="s">
        <v>15</v>
      </c>
      <c r="B49" s="111"/>
      <c r="C49" s="355" t="s">
        <v>53</v>
      </c>
      <c r="D49" s="111"/>
      <c r="E49" s="112">
        <f>SUM(E50:E50)</f>
        <v>188000</v>
      </c>
      <c r="F49" s="112">
        <f t="shared" ref="F49:H49" si="12">SUM(F50:F50)</f>
        <v>188000</v>
      </c>
      <c r="G49" s="112">
        <f t="shared" si="12"/>
        <v>138000</v>
      </c>
      <c r="H49" s="112">
        <f t="shared" si="12"/>
        <v>50000</v>
      </c>
      <c r="I49" s="115"/>
    </row>
    <row r="50" spans="1:9" s="32" customFormat="1" ht="47.25" customHeight="1">
      <c r="A50" s="2433"/>
      <c r="B50" s="408" t="s">
        <v>197</v>
      </c>
      <c r="C50" s="409" t="s">
        <v>198</v>
      </c>
      <c r="D50" s="410"/>
      <c r="E50" s="411">
        <f>SUM(E51:E52)</f>
        <v>188000</v>
      </c>
      <c r="F50" s="411">
        <f>SUM(F51:F52)</f>
        <v>188000</v>
      </c>
      <c r="G50" s="411">
        <f t="shared" ref="G50:H50" si="13">SUM(G51:G52)</f>
        <v>138000</v>
      </c>
      <c r="H50" s="411">
        <f t="shared" si="13"/>
        <v>50000</v>
      </c>
      <c r="I50" s="1875"/>
    </row>
    <row r="51" spans="1:9" s="33" customFormat="1" ht="57" customHeight="1">
      <c r="A51" s="2434"/>
      <c r="B51" s="2431"/>
      <c r="C51" s="2503"/>
      <c r="D51" s="346" t="s">
        <v>19</v>
      </c>
      <c r="E51" s="347">
        <v>138000</v>
      </c>
      <c r="F51" s="400">
        <f t="shared" ref="F51:F52" si="14">SUM(G51:H51)</f>
        <v>138000</v>
      </c>
      <c r="G51" s="400">
        <v>138000</v>
      </c>
      <c r="H51" s="401">
        <v>0</v>
      </c>
      <c r="I51" s="1876" t="s">
        <v>199</v>
      </c>
    </row>
    <row r="52" spans="1:9" s="33" customFormat="1" ht="53.25" customHeight="1" thickBot="1">
      <c r="A52" s="2435"/>
      <c r="B52" s="2478"/>
      <c r="C52" s="2504"/>
      <c r="D52" s="317" t="s">
        <v>22</v>
      </c>
      <c r="E52" s="347">
        <v>50000</v>
      </c>
      <c r="F52" s="400">
        <f t="shared" si="14"/>
        <v>50000</v>
      </c>
      <c r="G52" s="400">
        <v>0</v>
      </c>
      <c r="H52" s="401">
        <v>50000</v>
      </c>
      <c r="I52" s="1877" t="s">
        <v>200</v>
      </c>
    </row>
    <row r="53" spans="1:9" s="29" customFormat="1" ht="36.75" customHeight="1" thickBot="1">
      <c r="A53" s="354" t="s">
        <v>86</v>
      </c>
      <c r="B53" s="111"/>
      <c r="C53" s="355" t="s">
        <v>87</v>
      </c>
      <c r="D53" s="111"/>
      <c r="E53" s="112">
        <f>SUM(E54)</f>
        <v>50000</v>
      </c>
      <c r="F53" s="112">
        <f t="shared" ref="F53:H53" si="15">SUM(F54)</f>
        <v>50000</v>
      </c>
      <c r="G53" s="112">
        <f t="shared" si="15"/>
        <v>0</v>
      </c>
      <c r="H53" s="112">
        <f t="shared" si="15"/>
        <v>50000</v>
      </c>
      <c r="I53" s="115"/>
    </row>
    <row r="54" spans="1:9" s="33" customFormat="1" ht="36" customHeight="1">
      <c r="A54" s="2433"/>
      <c r="B54" s="418" t="s">
        <v>201</v>
      </c>
      <c r="C54" s="419" t="s">
        <v>933</v>
      </c>
      <c r="D54" s="418"/>
      <c r="E54" s="420">
        <f>SUM(E55)</f>
        <v>50000</v>
      </c>
      <c r="F54" s="420">
        <f t="shared" ref="F54:H54" si="16">SUM(F55)</f>
        <v>50000</v>
      </c>
      <c r="G54" s="420">
        <f t="shared" si="16"/>
        <v>0</v>
      </c>
      <c r="H54" s="420">
        <f t="shared" si="16"/>
        <v>50000</v>
      </c>
      <c r="I54" s="421"/>
    </row>
    <row r="55" spans="1:9" s="33" customFormat="1" ht="60.75" customHeight="1" thickBot="1">
      <c r="A55" s="2435"/>
      <c r="B55" s="318"/>
      <c r="C55" s="422"/>
      <c r="D55" s="318" t="s">
        <v>22</v>
      </c>
      <c r="E55" s="40">
        <v>50000</v>
      </c>
      <c r="F55" s="423">
        <f t="shared" ref="F55" si="17">SUM(G55:H55)</f>
        <v>50000</v>
      </c>
      <c r="G55" s="423">
        <v>0</v>
      </c>
      <c r="H55" s="424">
        <v>50000</v>
      </c>
      <c r="I55" s="377" t="s">
        <v>202</v>
      </c>
    </row>
    <row r="56" spans="1:9" s="33" customFormat="1" ht="44.25" customHeight="1" thickBot="1">
      <c r="A56" s="354" t="s">
        <v>27</v>
      </c>
      <c r="B56" s="111"/>
      <c r="C56" s="355" t="s">
        <v>54</v>
      </c>
      <c r="D56" s="111"/>
      <c r="E56" s="112">
        <f>SUM(E57,E59)</f>
        <v>90000</v>
      </c>
      <c r="F56" s="112">
        <f>SUM(F57,F59)</f>
        <v>79493</v>
      </c>
      <c r="G56" s="112">
        <f>SUM(G57,G59)</f>
        <v>19500</v>
      </c>
      <c r="H56" s="112">
        <f>SUM(H57,H59)</f>
        <v>59993</v>
      </c>
      <c r="I56" s="162"/>
    </row>
    <row r="57" spans="1:9" s="33" customFormat="1" ht="44.25" customHeight="1" thickBot="1">
      <c r="A57" s="2533"/>
      <c r="B57" s="103" t="s">
        <v>203</v>
      </c>
      <c r="C57" s="358" t="s">
        <v>204</v>
      </c>
      <c r="D57" s="103"/>
      <c r="E57" s="127">
        <f>SUM(E58:E58)</f>
        <v>10000</v>
      </c>
      <c r="F57" s="127">
        <f>SUM(G57:H57)</f>
        <v>10000</v>
      </c>
      <c r="G57" s="127">
        <f>SUM(G58:G58)</f>
        <v>0</v>
      </c>
      <c r="H57" s="127">
        <f>SUM(H58:H58)</f>
        <v>10000</v>
      </c>
      <c r="I57" s="156"/>
    </row>
    <row r="58" spans="1:9" s="33" customFormat="1" ht="87.75" customHeight="1" thickBot="1">
      <c r="A58" s="2534"/>
      <c r="B58" s="499"/>
      <c r="C58" s="493"/>
      <c r="D58" s="281" t="s">
        <v>22</v>
      </c>
      <c r="E58" s="500">
        <v>10000</v>
      </c>
      <c r="F58" s="501">
        <f t="shared" ref="F58" si="18">SUM(G58:H58)</f>
        <v>10000</v>
      </c>
      <c r="G58" s="501">
        <v>0</v>
      </c>
      <c r="H58" s="502">
        <v>10000</v>
      </c>
      <c r="I58" s="503" t="s">
        <v>214</v>
      </c>
    </row>
    <row r="59" spans="1:9" s="33" customFormat="1" ht="27.75" customHeight="1" thickBot="1">
      <c r="A59" s="295"/>
      <c r="B59" s="465" t="s">
        <v>88</v>
      </c>
      <c r="C59" s="496" t="s">
        <v>11</v>
      </c>
      <c r="D59" s="465"/>
      <c r="E59" s="497">
        <f>SUM(E60:E61)</f>
        <v>80000</v>
      </c>
      <c r="F59" s="497">
        <f>SUM(G59:H59)</f>
        <v>69493</v>
      </c>
      <c r="G59" s="497">
        <f>SUM(G60:G61)</f>
        <v>19500</v>
      </c>
      <c r="H59" s="497">
        <f>SUM(H60:H61)</f>
        <v>49993</v>
      </c>
      <c r="I59" s="498"/>
    </row>
    <row r="60" spans="1:9" s="33" customFormat="1" ht="191.25" customHeight="1">
      <c r="A60" s="2510"/>
      <c r="B60" s="2526"/>
      <c r="C60" s="2528"/>
      <c r="D60" s="428" t="s">
        <v>19</v>
      </c>
      <c r="E60" s="429">
        <v>20000</v>
      </c>
      <c r="F60" s="429">
        <f>SUM(G60:H60)</f>
        <v>19500</v>
      </c>
      <c r="G60" s="429">
        <v>19500</v>
      </c>
      <c r="H60" s="430">
        <v>0</v>
      </c>
      <c r="I60" s="431" t="s">
        <v>222</v>
      </c>
    </row>
    <row r="61" spans="1:9" s="33" customFormat="1" ht="360.75" customHeight="1" thickBot="1">
      <c r="A61" s="2511"/>
      <c r="B61" s="2527"/>
      <c r="C61" s="2529"/>
      <c r="D61" s="318" t="s">
        <v>22</v>
      </c>
      <c r="E61" s="425">
        <v>60000</v>
      </c>
      <c r="F61" s="426">
        <f>SUM(G61:H61)</f>
        <v>49993</v>
      </c>
      <c r="G61" s="426">
        <v>0</v>
      </c>
      <c r="H61" s="427">
        <v>49993</v>
      </c>
      <c r="I61" s="365" t="s">
        <v>215</v>
      </c>
    </row>
    <row r="62" spans="1:9" s="29" customFormat="1" ht="39.75" customHeight="1" thickBot="1">
      <c r="A62" s="354" t="s">
        <v>14</v>
      </c>
      <c r="B62" s="111"/>
      <c r="C62" s="355" t="s">
        <v>61</v>
      </c>
      <c r="D62" s="111"/>
      <c r="E62" s="112">
        <f>SUM(E63,E65,E68,E70,E72)</f>
        <v>975800</v>
      </c>
      <c r="F62" s="112">
        <f>SUM(F63,F65,F68,F70,F72)</f>
        <v>964829</v>
      </c>
      <c r="G62" s="112">
        <f>SUM(G63,G65,G68,G70,G72)</f>
        <v>798689</v>
      </c>
      <c r="H62" s="112">
        <f>SUM(H63,H65,H68,H70,H72)</f>
        <v>166140</v>
      </c>
      <c r="I62" s="115"/>
    </row>
    <row r="63" spans="1:9" s="29" customFormat="1" ht="39.75" customHeight="1">
      <c r="A63" s="2530"/>
      <c r="B63" s="388" t="s">
        <v>140</v>
      </c>
      <c r="C63" s="389" t="s">
        <v>141</v>
      </c>
      <c r="D63" s="388"/>
      <c r="E63" s="435">
        <f>SUM(E64)</f>
        <v>10000</v>
      </c>
      <c r="F63" s="435">
        <f t="shared" ref="F63:H63" si="19">SUM(F64)</f>
        <v>10000</v>
      </c>
      <c r="G63" s="435">
        <f t="shared" si="19"/>
        <v>10000</v>
      </c>
      <c r="H63" s="435">
        <f t="shared" si="19"/>
        <v>0</v>
      </c>
      <c r="I63" s="436"/>
    </row>
    <row r="64" spans="1:9" s="29" customFormat="1" ht="63" customHeight="1" thickBot="1">
      <c r="A64" s="2531"/>
      <c r="B64" s="483"/>
      <c r="C64" s="422"/>
      <c r="D64" s="483" t="s">
        <v>19</v>
      </c>
      <c r="E64" s="432">
        <v>10000</v>
      </c>
      <c r="F64" s="433">
        <f t="shared" ref="F64" si="20">SUM(G64:H64)</f>
        <v>10000</v>
      </c>
      <c r="G64" s="432">
        <v>10000</v>
      </c>
      <c r="H64" s="434">
        <v>0</v>
      </c>
      <c r="I64" s="484" t="s">
        <v>216</v>
      </c>
    </row>
    <row r="65" spans="1:11" s="29" customFormat="1" ht="30" customHeight="1" thickBot="1">
      <c r="A65" s="2531"/>
      <c r="B65" s="106">
        <v>92109</v>
      </c>
      <c r="C65" s="396" t="s">
        <v>89</v>
      </c>
      <c r="D65" s="106"/>
      <c r="E65" s="127">
        <f>SUM(E66:E67)</f>
        <v>105800</v>
      </c>
      <c r="F65" s="127">
        <f t="shared" ref="F65:H65" si="21">SUM(F66:F67)</f>
        <v>95689</v>
      </c>
      <c r="G65" s="127">
        <f t="shared" si="21"/>
        <v>48689</v>
      </c>
      <c r="H65" s="127">
        <f t="shared" si="21"/>
        <v>47000</v>
      </c>
      <c r="I65" s="106"/>
    </row>
    <row r="66" spans="1:11" s="29" customFormat="1" ht="297" customHeight="1" thickBot="1">
      <c r="A66" s="2532"/>
      <c r="B66" s="519"/>
      <c r="C66" s="521"/>
      <c r="D66" s="522">
        <v>2710</v>
      </c>
      <c r="E66" s="438">
        <v>58800</v>
      </c>
      <c r="F66" s="524">
        <f t="shared" ref="F66:F69" si="22">SUM(G66:H66)</f>
        <v>48689</v>
      </c>
      <c r="G66" s="438">
        <v>48689</v>
      </c>
      <c r="H66" s="523">
        <v>0</v>
      </c>
      <c r="I66" s="485" t="s">
        <v>229</v>
      </c>
    </row>
    <row r="67" spans="1:11" s="29" customFormat="1" ht="327.75" customHeight="1" thickBot="1">
      <c r="A67" s="520"/>
      <c r="B67" s="519"/>
      <c r="C67" s="521"/>
      <c r="D67" s="522">
        <v>6300</v>
      </c>
      <c r="E67" s="438">
        <v>47000</v>
      </c>
      <c r="F67" s="438">
        <f t="shared" si="22"/>
        <v>47000</v>
      </c>
      <c r="G67" s="438">
        <v>0</v>
      </c>
      <c r="H67" s="523">
        <v>47000</v>
      </c>
      <c r="I67" s="485" t="s">
        <v>217</v>
      </c>
    </row>
    <row r="68" spans="1:11" s="29" customFormat="1" ht="23.25" customHeight="1" thickBot="1">
      <c r="A68" s="361"/>
      <c r="B68" s="106">
        <v>92118</v>
      </c>
      <c r="C68" s="396" t="s">
        <v>90</v>
      </c>
      <c r="D68" s="439"/>
      <c r="E68" s="127">
        <f>SUM(E69)</f>
        <v>700000</v>
      </c>
      <c r="F68" s="127">
        <f t="shared" si="22"/>
        <v>700000</v>
      </c>
      <c r="G68" s="127">
        <f>SUM(G69)</f>
        <v>700000</v>
      </c>
      <c r="H68" s="127">
        <f>SUM(H69)</f>
        <v>0</v>
      </c>
      <c r="I68" s="128"/>
    </row>
    <row r="69" spans="1:11" s="29" customFormat="1" ht="48.75" customHeight="1" thickBot="1">
      <c r="A69" s="297"/>
      <c r="B69" s="440"/>
      <c r="C69" s="441"/>
      <c r="D69" s="442">
        <v>2710</v>
      </c>
      <c r="E69" s="429">
        <v>700000</v>
      </c>
      <c r="F69" s="429">
        <f t="shared" si="22"/>
        <v>700000</v>
      </c>
      <c r="G69" s="429">
        <v>700000</v>
      </c>
      <c r="H69" s="430"/>
      <c r="I69" s="443" t="s">
        <v>218</v>
      </c>
    </row>
    <row r="70" spans="1:11" s="29" customFormat="1" ht="48.75" customHeight="1" thickBot="1">
      <c r="A70" s="297"/>
      <c r="B70" s="106">
        <v>92120</v>
      </c>
      <c r="C70" s="396" t="s">
        <v>205</v>
      </c>
      <c r="D70" s="439"/>
      <c r="E70" s="127">
        <f>SUM(E71)</f>
        <v>10000</v>
      </c>
      <c r="F70" s="127">
        <f t="shared" ref="F70:F71" si="23">SUM(G70:H70)</f>
        <v>10000</v>
      </c>
      <c r="G70" s="127">
        <f>SUM(G71)</f>
        <v>10000</v>
      </c>
      <c r="H70" s="127">
        <f>SUM(H71)</f>
        <v>0</v>
      </c>
      <c r="I70" s="128"/>
    </row>
    <row r="71" spans="1:11" s="29" customFormat="1" ht="88.5" customHeight="1" thickBot="1">
      <c r="A71" s="297"/>
      <c r="B71" s="440"/>
      <c r="C71" s="441"/>
      <c r="D71" s="442">
        <v>2710</v>
      </c>
      <c r="E71" s="429">
        <v>10000</v>
      </c>
      <c r="F71" s="429">
        <f t="shared" si="23"/>
        <v>10000</v>
      </c>
      <c r="G71" s="429">
        <v>10000</v>
      </c>
      <c r="H71" s="430"/>
      <c r="I71" s="443" t="s">
        <v>219</v>
      </c>
    </row>
    <row r="72" spans="1:11" s="29" customFormat="1" ht="22.5" customHeight="1" thickBot="1">
      <c r="A72" s="297"/>
      <c r="B72" s="106">
        <v>92195</v>
      </c>
      <c r="C72" s="396" t="s">
        <v>11</v>
      </c>
      <c r="D72" s="444"/>
      <c r="E72" s="127">
        <f>SUM(E73:E74)</f>
        <v>150000</v>
      </c>
      <c r="F72" s="127">
        <f>SUM(F73:F74)</f>
        <v>149140</v>
      </c>
      <c r="G72" s="127">
        <f>SUM(G73:G74)</f>
        <v>30000</v>
      </c>
      <c r="H72" s="127">
        <f>SUM(H73:H74)</f>
        <v>119140</v>
      </c>
      <c r="I72" s="155"/>
      <c r="K72" s="163"/>
    </row>
    <row r="73" spans="1:11" s="29" customFormat="1" ht="189" customHeight="1">
      <c r="A73" s="297"/>
      <c r="B73" s="475"/>
      <c r="C73" s="476"/>
      <c r="D73" s="442">
        <v>2710</v>
      </c>
      <c r="E73" s="429">
        <v>30000</v>
      </c>
      <c r="F73" s="429">
        <f>SUM(G73:H73)</f>
        <v>30000</v>
      </c>
      <c r="G73" s="429">
        <v>30000</v>
      </c>
      <c r="H73" s="430">
        <v>0</v>
      </c>
      <c r="I73" s="445" t="s">
        <v>220</v>
      </c>
    </row>
    <row r="74" spans="1:11" s="29" customFormat="1" ht="280.5" customHeight="1" thickBot="1">
      <c r="A74" s="297"/>
      <c r="B74" s="477"/>
      <c r="C74" s="478"/>
      <c r="D74" s="446">
        <v>6300</v>
      </c>
      <c r="E74" s="447">
        <v>120000</v>
      </c>
      <c r="F74" s="448">
        <f>SUM(G74:H74)</f>
        <v>119140</v>
      </c>
      <c r="G74" s="448">
        <v>0</v>
      </c>
      <c r="H74" s="479">
        <v>119140</v>
      </c>
      <c r="I74" s="449" t="s">
        <v>230</v>
      </c>
    </row>
    <row r="75" spans="1:11" s="29" customFormat="1" ht="30" customHeight="1" thickBot="1">
      <c r="A75" s="354" t="s">
        <v>91</v>
      </c>
      <c r="B75" s="473"/>
      <c r="C75" s="355" t="s">
        <v>142</v>
      </c>
      <c r="D75" s="111"/>
      <c r="E75" s="112">
        <f>SUM(E76,E78,E80)</f>
        <v>680000</v>
      </c>
      <c r="F75" s="112">
        <f>SUM(F76,F78,F80)</f>
        <v>67950</v>
      </c>
      <c r="G75" s="112">
        <f>SUM(G76,G78,G80)</f>
        <v>20000</v>
      </c>
      <c r="H75" s="112">
        <f>SUM(H76,H78,H80)</f>
        <v>47950</v>
      </c>
      <c r="I75" s="474"/>
    </row>
    <row r="76" spans="1:11" s="29" customFormat="1" ht="30" customHeight="1" thickBot="1">
      <c r="A76" s="2505"/>
      <c r="B76" s="450">
        <v>92601</v>
      </c>
      <c r="C76" s="396" t="s">
        <v>92</v>
      </c>
      <c r="D76" s="450"/>
      <c r="E76" s="127">
        <f>SUM(E77:E77)</f>
        <v>630000</v>
      </c>
      <c r="F76" s="127">
        <f>SUM(F77:F77)</f>
        <v>27950</v>
      </c>
      <c r="G76" s="127">
        <f>SUM(G77:G77)</f>
        <v>0</v>
      </c>
      <c r="H76" s="127">
        <f>SUM(H77:H77)</f>
        <v>27950</v>
      </c>
      <c r="I76" s="451"/>
    </row>
    <row r="77" spans="1:11" s="29" customFormat="1" ht="218.25" customHeight="1" thickBot="1">
      <c r="A77" s="2506"/>
      <c r="B77" s="452"/>
      <c r="C77" s="453"/>
      <c r="D77" s="452">
        <v>6300</v>
      </c>
      <c r="E77" s="437">
        <v>630000</v>
      </c>
      <c r="F77" s="454">
        <f>SUM(G77:H77)</f>
        <v>27950</v>
      </c>
      <c r="G77" s="455">
        <v>0</v>
      </c>
      <c r="H77" s="456">
        <v>27950</v>
      </c>
      <c r="I77" s="457" t="s">
        <v>231</v>
      </c>
    </row>
    <row r="78" spans="1:11" s="30" customFormat="1" ht="39" customHeight="1" thickBot="1">
      <c r="A78" s="2506"/>
      <c r="B78" s="103" t="s">
        <v>93</v>
      </c>
      <c r="C78" s="350" t="s">
        <v>94</v>
      </c>
      <c r="D78" s="103"/>
      <c r="E78" s="351">
        <f>SUM(E79)</f>
        <v>20000</v>
      </c>
      <c r="F78" s="353">
        <f>SUM(F79)</f>
        <v>20000</v>
      </c>
      <c r="G78" s="458">
        <f>SUM(G79)</f>
        <v>20000</v>
      </c>
      <c r="H78" s="459">
        <f>SUM(H79)</f>
        <v>0</v>
      </c>
      <c r="I78" s="460"/>
    </row>
    <row r="79" spans="1:11" s="30" customFormat="1" ht="164.25" customHeight="1" thickBot="1">
      <c r="A79" s="2507"/>
      <c r="B79" s="461"/>
      <c r="C79" s="462"/>
      <c r="D79" s="318" t="s">
        <v>19</v>
      </c>
      <c r="E79" s="367">
        <v>20000</v>
      </c>
      <c r="F79" s="368">
        <f>SUM(G79:H79)</f>
        <v>20000</v>
      </c>
      <c r="G79" s="177">
        <v>20000</v>
      </c>
      <c r="H79" s="463">
        <v>0</v>
      </c>
      <c r="I79" s="464" t="s">
        <v>232</v>
      </c>
    </row>
    <row r="80" spans="1:11" s="30" customFormat="1" ht="33.75" customHeight="1" thickBot="1">
      <c r="A80" s="297"/>
      <c r="B80" s="465" t="s">
        <v>95</v>
      </c>
      <c r="C80" s="466" t="s">
        <v>11</v>
      </c>
      <c r="D80" s="465"/>
      <c r="E80" s="467">
        <f>SUM(E81)</f>
        <v>30000</v>
      </c>
      <c r="F80" s="468">
        <f>SUM(F81)</f>
        <v>20000</v>
      </c>
      <c r="G80" s="469">
        <f>SUM(G81)</f>
        <v>0</v>
      </c>
      <c r="H80" s="470">
        <f>SUM(H81)</f>
        <v>20000</v>
      </c>
      <c r="I80" s="471"/>
    </row>
    <row r="81" spans="1:9" s="30" customFormat="1" ht="186" customHeight="1" thickBot="1">
      <c r="A81" s="298"/>
      <c r="B81" s="461"/>
      <c r="C81" s="462"/>
      <c r="D81" s="318" t="s">
        <v>22</v>
      </c>
      <c r="E81" s="367">
        <v>30000</v>
      </c>
      <c r="F81" s="368">
        <f>SUM(G81:H81)</f>
        <v>20000</v>
      </c>
      <c r="G81" s="177">
        <v>0</v>
      </c>
      <c r="H81" s="463">
        <v>20000</v>
      </c>
      <c r="I81" s="464" t="s">
        <v>233</v>
      </c>
    </row>
    <row r="82" spans="1:9" ht="39.75" customHeight="1" thickBot="1">
      <c r="A82" s="2407" t="s">
        <v>96</v>
      </c>
      <c r="B82" s="2525"/>
      <c r="C82" s="2408"/>
      <c r="D82" s="316"/>
      <c r="E82" s="472">
        <f>SUM(E7,E13,E25,E31,E38,E42,E46,E49,E53,E56,E62,E75)</f>
        <v>19830640</v>
      </c>
      <c r="F82" s="472">
        <f>SUM(F7,F13,F25,F31,F38,F42,F46,F49,F53,F56,F62,F75)</f>
        <v>17751044</v>
      </c>
      <c r="G82" s="472">
        <f>SUM(G7,G13,G25,G31,G38,G42,G46,G49,G53,G56,G62,G75)</f>
        <v>5002120</v>
      </c>
      <c r="H82" s="472">
        <f>SUM(H7,H13,H25,H31,H38,H42,H46,H49,H53,H56,H62,H75)</f>
        <v>12748924</v>
      </c>
      <c r="I82" s="299"/>
    </row>
    <row r="84" spans="1:9">
      <c r="H84" s="60">
        <f>SUM(G82:H82)</f>
        <v>17751044</v>
      </c>
    </row>
    <row r="85" spans="1:9">
      <c r="E85" s="37"/>
      <c r="F85" s="37"/>
      <c r="G85" s="37"/>
      <c r="H85" s="37"/>
    </row>
    <row r="86" spans="1:9">
      <c r="F86" s="60"/>
    </row>
    <row r="87" spans="1:9">
      <c r="I87" s="61"/>
    </row>
    <row r="88" spans="1:9">
      <c r="H88" s="60"/>
    </row>
    <row r="90" spans="1:9">
      <c r="G90" s="60"/>
    </row>
    <row r="91" spans="1:9">
      <c r="G91" s="60"/>
    </row>
  </sheetData>
  <mergeCells count="45">
    <mergeCell ref="I34:I35"/>
    <mergeCell ref="A39:A41"/>
    <mergeCell ref="B40:B41"/>
    <mergeCell ref="C40:C41"/>
    <mergeCell ref="G34:G35"/>
    <mergeCell ref="H34:H35"/>
    <mergeCell ref="D34:D35"/>
    <mergeCell ref="E34:E35"/>
    <mergeCell ref="F34:F35"/>
    <mergeCell ref="A82:C82"/>
    <mergeCell ref="A54:A55"/>
    <mergeCell ref="A76:A79"/>
    <mergeCell ref="B60:B61"/>
    <mergeCell ref="A60:A61"/>
    <mergeCell ref="C60:C61"/>
    <mergeCell ref="A63:A66"/>
    <mergeCell ref="A57:A58"/>
    <mergeCell ref="I9:I10"/>
    <mergeCell ref="A2:I2"/>
    <mergeCell ref="A3:B3"/>
    <mergeCell ref="A4:A6"/>
    <mergeCell ref="B4:B6"/>
    <mergeCell ref="C4:C6"/>
    <mergeCell ref="D4:D6"/>
    <mergeCell ref="E4:H4"/>
    <mergeCell ref="I4:I6"/>
    <mergeCell ref="E5:E6"/>
    <mergeCell ref="F5:F6"/>
    <mergeCell ref="G5:H5"/>
    <mergeCell ref="A8:A12"/>
    <mergeCell ref="B9:B12"/>
    <mergeCell ref="C9:C12"/>
    <mergeCell ref="C51:C52"/>
    <mergeCell ref="B51:B52"/>
    <mergeCell ref="A50:A52"/>
    <mergeCell ref="A14:A17"/>
    <mergeCell ref="A47:A48"/>
    <mergeCell ref="A19:A24"/>
    <mergeCell ref="C29:C30"/>
    <mergeCell ref="B29:B30"/>
    <mergeCell ref="A43:A45"/>
    <mergeCell ref="C44:C45"/>
    <mergeCell ref="B44:B45"/>
    <mergeCell ref="A26:A30"/>
    <mergeCell ref="A32:A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Strona &amp;P z &amp;N</oddFooter>
  </headerFooter>
  <rowBreaks count="10" manualBreakCount="10">
    <brk id="24" max="8" man="1"/>
    <brk id="30" max="8" man="1"/>
    <brk id="33" max="8" man="1"/>
    <brk id="35" max="8" man="1"/>
    <brk id="41" max="8" man="1"/>
    <brk id="45" max="8" man="1"/>
    <brk id="61" max="8" man="1"/>
    <brk id="71" max="8" man="1"/>
    <brk id="74" max="8" man="1"/>
    <brk id="79" max="8" man="1"/>
  </rowBreaks>
  <colBreaks count="1" manualBreakCount="1">
    <brk id="9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tabSelected="1" view="pageBreakPreview" zoomScale="90" zoomScaleNormal="100" zoomScaleSheetLayoutView="90" workbookViewId="0">
      <selection activeCell="M85" sqref="M85"/>
    </sheetView>
  </sheetViews>
  <sheetFormatPr defaultRowHeight="14.25"/>
  <cols>
    <col min="1" max="1" width="69.5703125" style="3" customWidth="1"/>
    <col min="2" max="2" width="19.7109375" style="3" bestFit="1" customWidth="1"/>
    <col min="3" max="3" width="16" style="3" customWidth="1"/>
    <col min="4" max="4" width="13.5703125" style="3" customWidth="1"/>
    <col min="5" max="16384" width="9.140625" style="3"/>
  </cols>
  <sheetData>
    <row r="1" spans="1:5" ht="40.5" customHeight="1">
      <c r="A1" s="1"/>
      <c r="B1" s="1"/>
      <c r="C1" s="2"/>
      <c r="D1" s="2"/>
    </row>
    <row r="2" spans="1:5">
      <c r="A2" s="2543" t="s">
        <v>35</v>
      </c>
      <c r="B2" s="2543"/>
      <c r="C2" s="2543"/>
      <c r="D2" s="2543"/>
    </row>
    <row r="3" spans="1:5">
      <c r="A3" s="2543"/>
      <c r="B3" s="2543"/>
      <c r="C3" s="2543"/>
      <c r="D3" s="2543"/>
    </row>
    <row r="4" spans="1:5" ht="16.5" customHeight="1">
      <c r="A4" s="1"/>
      <c r="B4" s="1"/>
      <c r="C4" s="1"/>
      <c r="D4" s="1"/>
      <c r="E4" s="4"/>
    </row>
    <row r="5" spans="1:5" ht="15.75">
      <c r="A5" s="2544" t="s">
        <v>36</v>
      </c>
      <c r="B5" s="2544"/>
      <c r="C5" s="1"/>
      <c r="D5" s="1"/>
    </row>
    <row r="6" spans="1:5" ht="15.75" thickBot="1">
      <c r="A6" s="1"/>
      <c r="B6" s="1"/>
      <c r="C6" s="1"/>
      <c r="D6" s="5" t="s">
        <v>37</v>
      </c>
    </row>
    <row r="7" spans="1:5" ht="45.75" thickBot="1">
      <c r="A7" s="6" t="s">
        <v>38</v>
      </c>
      <c r="B7" s="7" t="s">
        <v>23</v>
      </c>
      <c r="C7" s="8" t="s">
        <v>20</v>
      </c>
      <c r="D7" s="9" t="s">
        <v>39</v>
      </c>
    </row>
    <row r="8" spans="1:5" ht="13.5" customHeight="1">
      <c r="A8" s="10" t="s">
        <v>1</v>
      </c>
      <c r="B8" s="11" t="s">
        <v>2</v>
      </c>
      <c r="C8" s="12" t="s">
        <v>3</v>
      </c>
      <c r="D8" s="11" t="s">
        <v>4</v>
      </c>
    </row>
    <row r="9" spans="1:5" ht="22.5" hidden="1" customHeight="1">
      <c r="A9" s="50" t="s">
        <v>68</v>
      </c>
      <c r="B9" s="53"/>
      <c r="C9" s="51"/>
      <c r="D9" s="54" t="s">
        <v>34</v>
      </c>
    </row>
    <row r="10" spans="1:5" ht="22.5" customHeight="1">
      <c r="A10" s="13" t="s">
        <v>1024</v>
      </c>
      <c r="B10" s="52">
        <v>1260000</v>
      </c>
      <c r="C10" s="14">
        <v>1647904</v>
      </c>
      <c r="D10" s="15">
        <f>C10/B10</f>
        <v>1.3078603174603174</v>
      </c>
    </row>
    <row r="11" spans="1:5" ht="22.5" customHeight="1" thickBot="1">
      <c r="A11" s="13" t="s">
        <v>40</v>
      </c>
      <c r="B11" s="52">
        <v>69035644</v>
      </c>
      <c r="C11" s="55">
        <v>115967845</v>
      </c>
      <c r="D11" s="15">
        <f>C11/B11*100</f>
        <v>167.98256419538868</v>
      </c>
    </row>
    <row r="12" spans="1:5" ht="25.5" customHeight="1" thickBot="1">
      <c r="A12" s="6" t="s">
        <v>41</v>
      </c>
      <c r="B12" s="16">
        <f>SUM(B9:B11)</f>
        <v>70295644</v>
      </c>
      <c r="C12" s="16">
        <f>SUM(C9:C11)</f>
        <v>117615749</v>
      </c>
      <c r="D12" s="18">
        <f>C12/B12*100</f>
        <v>167.31584250085254</v>
      </c>
    </row>
    <row r="13" spans="1:5" ht="15">
      <c r="A13" s="1"/>
      <c r="B13" s="1"/>
      <c r="C13" s="1"/>
      <c r="D13" s="1"/>
    </row>
    <row r="14" spans="1:5" ht="15">
      <c r="A14" s="1"/>
      <c r="B14" s="1"/>
      <c r="C14" s="1"/>
      <c r="D14" s="1"/>
    </row>
    <row r="15" spans="1:5" ht="15.75">
      <c r="A15" s="2544" t="s">
        <v>42</v>
      </c>
      <c r="B15" s="2544"/>
      <c r="C15" s="1"/>
      <c r="D15" s="1"/>
    </row>
    <row r="16" spans="1:5" ht="15.75" thickBot="1">
      <c r="A16" s="1"/>
      <c r="B16" s="1"/>
      <c r="C16" s="1"/>
      <c r="D16" s="5" t="s">
        <v>37</v>
      </c>
    </row>
    <row r="17" spans="1:4" ht="51.75" customHeight="1" thickBot="1">
      <c r="A17" s="6" t="s">
        <v>43</v>
      </c>
      <c r="B17" s="7" t="s">
        <v>23</v>
      </c>
      <c r="C17" s="8" t="s">
        <v>20</v>
      </c>
      <c r="D17" s="9" t="s">
        <v>39</v>
      </c>
    </row>
    <row r="18" spans="1:4">
      <c r="A18" s="10" t="s">
        <v>1</v>
      </c>
      <c r="B18" s="11" t="s">
        <v>2</v>
      </c>
      <c r="C18" s="12" t="s">
        <v>3</v>
      </c>
      <c r="D18" s="11" t="s">
        <v>4</v>
      </c>
    </row>
    <row r="19" spans="1:4" ht="20.25" customHeight="1">
      <c r="A19" s="43" t="s">
        <v>65</v>
      </c>
      <c r="B19" s="44">
        <v>20560000</v>
      </c>
      <c r="C19" s="49">
        <v>20560000</v>
      </c>
      <c r="D19" s="20">
        <f>C19/B19*100</f>
        <v>100</v>
      </c>
    </row>
    <row r="20" spans="1:4" ht="20.25" customHeight="1">
      <c r="A20" s="304" t="s">
        <v>189</v>
      </c>
      <c r="B20" s="44">
        <v>1000000</v>
      </c>
      <c r="C20" s="49">
        <v>1000000</v>
      </c>
      <c r="D20" s="20">
        <f>C20/B20*100</f>
        <v>100</v>
      </c>
    </row>
    <row r="21" spans="1:4" ht="20.25" customHeight="1">
      <c r="A21" s="13" t="s">
        <v>66</v>
      </c>
      <c r="B21" s="19">
        <v>12000000</v>
      </c>
      <c r="C21" s="14">
        <v>12000000</v>
      </c>
      <c r="D21" s="20">
        <f>C21/B21*100</f>
        <v>100</v>
      </c>
    </row>
    <row r="22" spans="1:4" ht="20.25" customHeight="1" thickBot="1">
      <c r="A22" s="1896" t="s">
        <v>67</v>
      </c>
      <c r="B22" s="44">
        <v>0</v>
      </c>
      <c r="C22" s="49">
        <v>808000</v>
      </c>
      <c r="D22" s="48" t="s">
        <v>34</v>
      </c>
    </row>
    <row r="23" spans="1:4" ht="24" customHeight="1" thickBot="1">
      <c r="A23" s="6" t="s">
        <v>41</v>
      </c>
      <c r="B23" s="16">
        <f>SUM(B19:B22)</f>
        <v>33560000</v>
      </c>
      <c r="C23" s="17">
        <f>SUM(C19:C22)</f>
        <v>34368000</v>
      </c>
      <c r="D23" s="18">
        <f>C23/B23*100</f>
        <v>102.40762812872468</v>
      </c>
    </row>
    <row r="93" ht="14.25" customHeight="1"/>
    <row r="328" spans="10:10">
      <c r="J328" s="3" t="e">
        <f>G328/D328</f>
        <v>#DIV/0!</v>
      </c>
    </row>
  </sheetData>
  <mergeCells count="3">
    <mergeCell ref="A2:D3"/>
    <mergeCell ref="A5:B5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15</vt:i4>
      </vt:variant>
    </vt:vector>
  </HeadingPairs>
  <TitlesOfParts>
    <vt:vector size="24" baseType="lpstr">
      <vt:lpstr>Tabela Nr 1</vt:lpstr>
      <vt:lpstr>Tabela Nr 2</vt:lpstr>
      <vt:lpstr>adm.rząd.doch. </vt:lpstr>
      <vt:lpstr> adm.rzad.wyd.</vt:lpstr>
      <vt:lpstr>ustawy szczegół.</vt:lpstr>
      <vt:lpstr>wyodrębniony rachunek</vt:lpstr>
      <vt:lpstr>dotacjena podst. porozumień</vt:lpstr>
      <vt:lpstr>dotacje udzielone innym jst</vt:lpstr>
      <vt:lpstr>przych i rozch.</vt:lpstr>
      <vt:lpstr>' adm.rzad.wyd.'!Obszar_wydruku</vt:lpstr>
      <vt:lpstr>'adm.rząd.doch. '!Obszar_wydruku</vt:lpstr>
      <vt:lpstr>'dotacje udzielone innym jst'!Obszar_wydruku</vt:lpstr>
      <vt:lpstr>'dotacjena podst. porozumień'!Obszar_wydruku</vt:lpstr>
      <vt:lpstr>'przych i rozch.'!Obszar_wydruku</vt:lpstr>
      <vt:lpstr>'Tabela Nr 1'!Obszar_wydruku</vt:lpstr>
      <vt:lpstr>'Tabela Nr 2'!Obszar_wydruku</vt:lpstr>
      <vt:lpstr>'ustawy szczegół.'!Obszar_wydruku</vt:lpstr>
      <vt:lpstr>'wyodrębniony rachunek'!Obszar_wydruku</vt:lpstr>
      <vt:lpstr>' adm.rzad.wyd.'!Tytuły_wydruku</vt:lpstr>
      <vt:lpstr>'dotacje udzielone innym jst'!Tytuły_wydruku</vt:lpstr>
      <vt:lpstr>'dotacjena podst. porozumień'!Tytuły_wydruku</vt:lpstr>
      <vt:lpstr>'Tabela Nr 1'!Tytuły_wydruku</vt:lpstr>
      <vt:lpstr>'Tabela Nr 2'!Tytuły_wydruku</vt:lpstr>
      <vt:lpstr>'ustawy szczegół.'!Tytuły_wydruku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2019-03-29T12:00:10Z</dcterms:modified>
</cp:coreProperties>
</file>